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095" windowHeight="9090" tabRatio="484" activeTab="2"/>
  </bookViews>
  <sheets>
    <sheet name="Kontantkassa" sheetId="1" r:id="rId1"/>
    <sheet name="2014" sheetId="2" r:id="rId2"/>
    <sheet name="Årsregnskap 2014" sheetId="3" r:id="rId3"/>
  </sheets>
  <definedNames>
    <definedName name="_xlnm.Print_Area" localSheetId="2">'Årsregnskap 2014'!$A$1:$K$70</definedName>
    <definedName name="_xlnm.Print_Titles" localSheetId="1">'2014'!$A:$C,'2014'!$1:$3</definedName>
  </definedNames>
  <calcPr fullCalcOnLoad="1"/>
</workbook>
</file>

<file path=xl/comments2.xml><?xml version="1.0" encoding="utf-8"?>
<comments xmlns="http://schemas.openxmlformats.org/spreadsheetml/2006/main">
  <authors>
    <author>Tore</author>
  </authors>
  <commentList>
    <comment ref="A48" authorId="0">
      <text>
        <r>
          <rPr>
            <b/>
            <sz val="9"/>
            <rFont val="Tahoma"/>
            <family val="0"/>
          </rPr>
          <t xml:space="preserve">Roald Bengtson i mail: 
</t>
        </r>
        <r>
          <rPr>
            <sz val="9"/>
            <rFont val="Tahoma"/>
            <family val="2"/>
          </rPr>
          <t xml:space="preserve">Da har jeg lagt inn 150 kroner for FiAA til Mardal (abonnement 2014). Som vanlig via Nordeas telefonbank. Beløpet bør være på foreningens konto fredag 30. mai. Jeg kan ikke legge inn noe betalingsinformasjon, men du/dere finner vel ut av det når det kommer inn 150 kroner fra min konto (6094 11 15910). </t>
        </r>
        <r>
          <rPr>
            <sz val="9"/>
            <rFont val="Tahoma"/>
            <family val="0"/>
          </rPr>
          <t xml:space="preserve">
</t>
        </r>
      </text>
    </comment>
    <comment ref="A59" authorId="0">
      <text>
        <r>
          <rPr>
            <b/>
            <sz val="9"/>
            <rFont val="Tahoma"/>
            <family val="0"/>
          </rPr>
          <t>Tore:</t>
        </r>
        <r>
          <rPr>
            <sz val="9"/>
            <rFont val="Tahoma"/>
            <family val="0"/>
          </rPr>
          <t xml:space="preserve">
betalt to ganger!
Kreditere? Nei, ønsker at vi skal beholde dobbeltbetalinga, for godt arbeid.</t>
        </r>
      </text>
    </comment>
  </commentList>
</comments>
</file>

<file path=xl/sharedStrings.xml><?xml version="1.0" encoding="utf-8"?>
<sst xmlns="http://schemas.openxmlformats.org/spreadsheetml/2006/main" count="322" uniqueCount="220">
  <si>
    <t>Dato</t>
  </si>
  <si>
    <t>Merknader</t>
  </si>
  <si>
    <t>Debet</t>
  </si>
  <si>
    <t>Kredit</t>
  </si>
  <si>
    <t>Sum debet</t>
  </si>
  <si>
    <t>Sum kredit</t>
  </si>
  <si>
    <t>Prosjekter</t>
  </si>
  <si>
    <t>Diverse</t>
  </si>
  <si>
    <t>Årsmøte</t>
  </si>
  <si>
    <t>Trykk. + ab. Fugl. i A-A</t>
  </si>
  <si>
    <t>Annonser - Fugler i A-A.</t>
  </si>
  <si>
    <t>Bilag</t>
  </si>
  <si>
    <t>Kontroll</t>
  </si>
  <si>
    <t>Skal være null</t>
  </si>
  <si>
    <t>Hovedregnskapet</t>
  </si>
  <si>
    <t>Medlemskontingenter</t>
  </si>
  <si>
    <t>Såda</t>
  </si>
  <si>
    <t>Porto - Salg Fugler i A-A</t>
  </si>
  <si>
    <t>Inntekter</t>
  </si>
  <si>
    <t>NOFs andel prosjekter</t>
  </si>
  <si>
    <t>kr</t>
  </si>
  <si>
    <t>Fugler i Aust-Agder, abonnement</t>
  </si>
  <si>
    <t>"</t>
  </si>
  <si>
    <t>Fugler i Aust-Agder, annonser</t>
  </si>
  <si>
    <t>Utgifter</t>
  </si>
  <si>
    <t>Fugler i Aust-Agder, trykking</t>
  </si>
  <si>
    <t>Sum</t>
  </si>
  <si>
    <t xml:space="preserve">Kontanter </t>
  </si>
  <si>
    <t>Revidert og godkjent,</t>
  </si>
  <si>
    <t>Dato:</t>
  </si>
  <si>
    <t>kasserer</t>
  </si>
  <si>
    <t>revisor</t>
  </si>
  <si>
    <t>Fugler i Aust-Agder, salg</t>
  </si>
  <si>
    <t>Kontanter</t>
  </si>
  <si>
    <t>Per Kristensen</t>
  </si>
  <si>
    <t>Konto:</t>
  </si>
  <si>
    <t>(bortsett fra første og de siste linjene)</t>
  </si>
  <si>
    <t>nr.</t>
  </si>
  <si>
    <t>Hekkeatlas</t>
  </si>
  <si>
    <t>Årsmøteutgifter</t>
  </si>
  <si>
    <t>Innestående totalt</t>
  </si>
  <si>
    <t>Totalbeholdning</t>
  </si>
  <si>
    <t>Gjeld, kortsiktig</t>
  </si>
  <si>
    <t xml:space="preserve"> </t>
  </si>
  <si>
    <t>Sum bankbeholdning og kontanter</t>
  </si>
  <si>
    <t>Fugler i Aust-Agder, porto m.m.</t>
  </si>
  <si>
    <t>Driftsutgifter (postboks, hjemmeside, bankgebyr)</t>
  </si>
  <si>
    <t>Tore Gryting Andersen</t>
  </si>
  <si>
    <t>Hekkeatlas, salgsutgifter</t>
  </si>
  <si>
    <t>Gjeld</t>
  </si>
  <si>
    <t>Hekkeatlas, salgsinntekter</t>
  </si>
  <si>
    <t>Restgjeld:</t>
  </si>
  <si>
    <t>Internkonti:</t>
  </si>
  <si>
    <t>Sum i kassa</t>
  </si>
  <si>
    <t>2A</t>
  </si>
  <si>
    <t>2B</t>
  </si>
  <si>
    <t>2895.42.53041 NOF AA driftskonto i Sparekassen</t>
  </si>
  <si>
    <t>2895.42.53041 NOF AA prosjektkto i Sparekassen</t>
  </si>
  <si>
    <t>Driftsutgifter/bankgebyr/ renter</t>
  </si>
  <si>
    <t>Bankgebyrer</t>
  </si>
  <si>
    <t>3A</t>
  </si>
  <si>
    <t>3B</t>
  </si>
  <si>
    <t>Saldokontroll Sør</t>
  </si>
  <si>
    <t>Saldokontroll Sp.kassen</t>
  </si>
  <si>
    <t>Ved årsskiftet (31.12.12):</t>
  </si>
  <si>
    <t>xx frankerte konvolutter</t>
  </si>
  <si>
    <t>xx blanke konvolutter</t>
  </si>
  <si>
    <t>xx frimerker A-post</t>
  </si>
  <si>
    <t>NOF avd. A-A, hovedregnskap 2014</t>
  </si>
  <si>
    <t>2014</t>
  </si>
  <si>
    <t>Beholdning pr. 31/12-2013</t>
  </si>
  <si>
    <t>Svaneapoteket Arendal, annonse i FiAA</t>
  </si>
  <si>
    <t>Domeneshop</t>
  </si>
  <si>
    <t>Natur og fritid as (utstyr til utlån, Fugl for folk flest)</t>
  </si>
  <si>
    <t>Fugl for folk flest</t>
  </si>
  <si>
    <t>Natur og fritid as (vesker til teleskoper)</t>
  </si>
  <si>
    <t>Gjensidige forsikring</t>
  </si>
  <si>
    <t>Inger Berggren (årsmøtemat 10 pers)</t>
  </si>
  <si>
    <t>Sven Inge Marcussen (medlemskap NOF AA 2013, etterbetalt)</t>
  </si>
  <si>
    <t>Inger Berggren (pant fra Såda)</t>
  </si>
  <si>
    <t>Gjensidigestiftelsen (Fugl for for flest-midler)</t>
  </si>
  <si>
    <t>Solbygg AS (v Sven Inge Marcussen, reklame i FiAA)</t>
  </si>
  <si>
    <t>Natur og fritid as (gavekort Inger B)</t>
  </si>
  <si>
    <t>Steinmoen, din reklamepartner (beachflagg, klebemerker)</t>
  </si>
  <si>
    <t>Inger Berggren (konvolutter til FiAA nr2/13)</t>
  </si>
  <si>
    <t xml:space="preserve">Overskudd Tromlingeturen 27.4.14 </t>
  </si>
  <si>
    <t>Abonnement FiAA: Svein Bossum</t>
  </si>
  <si>
    <t>Abonnement FiAA: Steinar Tollerud</t>
  </si>
  <si>
    <t>Abonnement FiAA: Gustav Bengtson</t>
  </si>
  <si>
    <t>Abonnement FiAA: Karl Reinert Hetland</t>
  </si>
  <si>
    <t>Abonnement FiAA: Per Sondrup Nielsen</t>
  </si>
  <si>
    <t>Abonnement FiAA: Asbjørn Lie</t>
  </si>
  <si>
    <t>Abonnement FiAA: Carsten Lome Brevik</t>
  </si>
  <si>
    <t>Abonnement FiAA: Trond Øigarden</t>
  </si>
  <si>
    <t>Abonnement FiAA: Turid Wenche T Larsen</t>
  </si>
  <si>
    <t>Abonnement FiAA: Paul Eric Aspholm</t>
  </si>
  <si>
    <t>Abonnement FiAA: Øyvind Nyvold Larsen</t>
  </si>
  <si>
    <t>Abonnement FiAA: Astrid Synnøve Løland</t>
  </si>
  <si>
    <t>Abonnement FiAA: Jan Løberg Olsen</t>
  </si>
  <si>
    <t>Abonnement FiAA: Erik Hauglund</t>
  </si>
  <si>
    <t>Abonnement FiAA: UIA</t>
  </si>
  <si>
    <t>Abonnement FiAA: Ole Petter Holm</t>
  </si>
  <si>
    <t>Abonnement FiAA: Torbjørg Hovet</t>
  </si>
  <si>
    <t>Abonnement FiAA: Willy Mardal (betalt av R. Bengtson)</t>
  </si>
  <si>
    <t>Pris: pr pers kr 50 (10 for barn), 22 +1 stk, trans.kostn kr 1000.</t>
  </si>
  <si>
    <t>Abonnement FiAA: Eldar Wrånes</t>
  </si>
  <si>
    <t>Abonnement FiAA: Agder naturmuseum og botanisk xxx</t>
  </si>
  <si>
    <t>Abonnement FiAA: Knut Aril Omberg</t>
  </si>
  <si>
    <t>Abonnement FiAA: Osmund Fiskaa</t>
  </si>
  <si>
    <t>Abonnement FiAA: Espen Sundet Nilsen</t>
  </si>
  <si>
    <t>Abonnement FiAA: Heidi Berit Iglebæk (betalt av Frank I.)</t>
  </si>
  <si>
    <t>Abonnement FiAA: Leif Gunnar Bjerke</t>
  </si>
  <si>
    <t>Abonnement FiAA: Ragnar Tømmerstø</t>
  </si>
  <si>
    <t>Abonnement FiAA: Anders Selås</t>
  </si>
  <si>
    <t>Abonnement FiAA: Hans Vidar Løkken</t>
  </si>
  <si>
    <t>Abonnement FiAA: Arendal kommune, biblioteket</t>
  </si>
  <si>
    <t>Abonnement FiAA: Steinar Johansen</t>
  </si>
  <si>
    <t>Abonnement FiAA: Odd Tellef Barøy Vestøl</t>
  </si>
  <si>
    <t>Arendal og omegn sparekasse: Annonse i FiAA nr2, 2013</t>
  </si>
  <si>
    <t>Abonnement FiAA: Ivar Bredesen</t>
  </si>
  <si>
    <t>NorEngros, Erik Tanche Nilssen: Trykk FiAA nr2, 2013</t>
  </si>
  <si>
    <t>Mørland sko: Annonse i FiAA nr2, 2013</t>
  </si>
  <si>
    <t>NOF sentralt: Forskudd medlemskontingent</t>
  </si>
  <si>
    <t>Abonnement FiAA: Kåre Olsen</t>
  </si>
  <si>
    <t>Abonnement FiAA: Stiftelsen norsk institutt for naturforskning</t>
  </si>
  <si>
    <t>Abonnement FiAA: Arne Harveland</t>
  </si>
  <si>
    <t>Refusjon Jan Helge for årsmøte + jernvitrol Skådebua</t>
  </si>
  <si>
    <t>Refusjon Jan Helge for porto FiAA 2/13</t>
  </si>
  <si>
    <t>Progr til de uten e-post, Husleie Stave Gård</t>
  </si>
  <si>
    <t>Refusjon Tore GA for porto (program + FiAA 1/14) + Lista-leilh.</t>
  </si>
  <si>
    <t>ATL grafisk AS, avd Arendal trykk og kopi</t>
  </si>
  <si>
    <t>Refusjon Tore GA for etiketter til FiAA</t>
  </si>
  <si>
    <t>Godtgjørelse for sjøfugltellingene i reservater 2013</t>
  </si>
  <si>
    <t>Posten Norge AS, postboksleie (uten mva)</t>
  </si>
  <si>
    <t>Posten Norge AS, mva for postboksleie</t>
  </si>
  <si>
    <t>Mørland sko: Annonse i FiAA nr1, 2014</t>
  </si>
  <si>
    <t>Arendal og omegn sparekasse: Annonse i FiAA nr1, 2014</t>
  </si>
  <si>
    <t>Rune Skåland: refusjon for membran til Såda-taket</t>
  </si>
  <si>
    <t>Abonnement FiAA: Arild Normann Håkedal</t>
  </si>
  <si>
    <t>Abonnement FiAA: Linda Stoveland</t>
  </si>
  <si>
    <t>Abonnement FiAA: Arild Breistøl</t>
  </si>
  <si>
    <t>Abonnement FiAA: Odd Kindberg</t>
  </si>
  <si>
    <t>Abonnement FiAA: FM i AA</t>
  </si>
  <si>
    <t>Abonnement FiAA: Valle kommune</t>
  </si>
  <si>
    <t>Hove drifts- og utvikl: Annonse i FiAA nr1, 2014</t>
  </si>
  <si>
    <t>NorEngros, Erik Tanche Nilssen: Trykk FiAA nr1, 2014</t>
  </si>
  <si>
    <t>Rune Skåland: refusjon for div mat til kosekveld på Såda</t>
  </si>
  <si>
    <t>Abonnement FiAA: Vidar Toreid</t>
  </si>
  <si>
    <t>Refusjon Tore GA for loddbøker til julemøtet</t>
  </si>
  <si>
    <t>Refusjon Tore GA for printerpapir til programmer med mer</t>
  </si>
  <si>
    <t>Agderposten, annonse høstmøtet</t>
  </si>
  <si>
    <t>K2 Work-A klær (Victoria.no), 20 stk T-skjorter</t>
  </si>
  <si>
    <t>Apotek1, annonse i FiAA 1, 2014</t>
  </si>
  <si>
    <t>Kroverten catering, temamøte 12. nov.</t>
  </si>
  <si>
    <r>
      <t xml:space="preserve">2801.06.78279 NOF AA driftskonto i </t>
    </r>
    <r>
      <rPr>
        <sz val="10"/>
        <color indexed="10"/>
        <rFont val="Arial"/>
        <family val="2"/>
      </rPr>
      <t>Sør</t>
    </r>
  </si>
  <si>
    <r>
      <t xml:space="preserve">2801.06.78279 NOF AA prosjektkonto i </t>
    </r>
    <r>
      <rPr>
        <sz val="9"/>
        <color indexed="10"/>
        <rFont val="Arial"/>
        <family val="2"/>
      </rPr>
      <t>Sør</t>
    </r>
  </si>
  <si>
    <t>Avslutning av Sør-konto, overføres Sparekassa</t>
  </si>
  <si>
    <t>Renter og årsbeløp nettbank ved avslutning av Sør-konto</t>
  </si>
  <si>
    <t>Hove leirsenter: Strøm for Såda 2014 (1. mar-31. des)</t>
  </si>
  <si>
    <t>Strøm, basert på estimat fra Hove leirsenter</t>
  </si>
  <si>
    <t>Refusjon Tore GA for flere loddbøker til julemøtet</t>
  </si>
  <si>
    <t>Beholdning pr. 31.12.2014</t>
  </si>
  <si>
    <t>Loddsalg på julemøtet (237 lodd a 10 kr)</t>
  </si>
  <si>
    <t>T-skjorter: Arne Myrland, Helge Venaas, Glenn Svendsen, Jan Helge Kjøstvedt</t>
  </si>
  <si>
    <t>T-skjorter</t>
  </si>
  <si>
    <t>T-skjorter: Rolf Jørn Fjærbu, Tom A. Johannessen</t>
  </si>
  <si>
    <t>T-skjorter: Rune Skåland</t>
  </si>
  <si>
    <t>T-skjorter: Kjell Klungland</t>
  </si>
  <si>
    <t>NOF sentralt: sluttoppgjør medlemskontingent</t>
  </si>
  <si>
    <t>T-skjorter: Frode Steffensen</t>
  </si>
  <si>
    <t>Fylkesmannen i Aust-Agder: For rapport om fuglelivet i Raet</t>
  </si>
  <si>
    <t>Fylkesmannen i A-Agder, tilskudd sjøfugltellinger 2014, 2 prosj</t>
  </si>
  <si>
    <t>Renter</t>
  </si>
  <si>
    <t>76 a+b</t>
  </si>
  <si>
    <t>DNB Rentespar</t>
  </si>
  <si>
    <t>Beholdning pr. 01.01.2014</t>
  </si>
  <si>
    <t>Ny beholdning 31.12.2014</t>
  </si>
  <si>
    <t>Sum beholdning 31.12.2014</t>
  </si>
  <si>
    <t>Driftsresultat 2014</t>
  </si>
  <si>
    <t>avkastning</t>
  </si>
  <si>
    <t>DNB rentespar: verdiøkning</t>
  </si>
  <si>
    <t>Note:</t>
  </si>
  <si>
    <t>Noter:</t>
  </si>
  <si>
    <t>Dugnad, tellling ilanddrevne sjøfugl</t>
  </si>
  <si>
    <t>Dugnad, telling av ilanddrevne sjøfugl (2013 og 2014)</t>
  </si>
  <si>
    <t>Universitetet i Bergen, lysloggere (inkl toll) til vannrikse</t>
  </si>
  <si>
    <t>Utbetaling ikke gjort i 2014, føres som gjeld</t>
  </si>
  <si>
    <t>Sørkonto: renter og gebyr står igjen</t>
  </si>
  <si>
    <t>Sum innestående bank pr. 31.12.2014</t>
  </si>
  <si>
    <t>etterbet -15:</t>
  </si>
  <si>
    <t>ekstra SIM:</t>
  </si>
  <si>
    <t>Renteinntekter + mva-kompensasjon</t>
  </si>
  <si>
    <t>Diverse (se noter nederst)</t>
  </si>
  <si>
    <t>Kjell Woxmyr (porto og konvolutter til program, kasse til kikkerter og bøker)</t>
  </si>
  <si>
    <t>Såda inkl skådebua (strøm, forsikring og vedlikehold)</t>
  </si>
  <si>
    <t>Arrangementer</t>
  </si>
  <si>
    <t>Gjensidigestiftelsen: støtte til "Fugl for folk flest" kr 46.830, er brukt til teleskoper, kikkerter, fuglebøker.</t>
  </si>
  <si>
    <t>Sparebanken Sør (2801.06.78279, driftskonto)</t>
  </si>
  <si>
    <t>Arendal Sparekasse (2895.42.53041, driftskonto)</t>
  </si>
  <si>
    <t>Fordeling av beholdning pr. 31.12.2014</t>
  </si>
  <si>
    <t>Arendal Sparekasse, driftskonto</t>
  </si>
  <si>
    <t>Arendal Sparekasse, prosjektkonto</t>
  </si>
  <si>
    <t>Sum konto 2895.42.53041</t>
  </si>
  <si>
    <t xml:space="preserve">i Arendal Sparekasse </t>
  </si>
  <si>
    <t>NOF sentralt: mva-kompensasjon</t>
  </si>
  <si>
    <t>Rapp. om fuglelivet, til utredn. Raet nasjonalp.</t>
  </si>
  <si>
    <t>Foreløpig ikke utbetalt godtgjørelse, for reservat-tellinger samt fuglelivsrapport for nasjonalpark-utredning</t>
  </si>
  <si>
    <t>Godtgjørelse å utbetale for rapport om fuglelivet til NP-utredning</t>
  </si>
  <si>
    <t>Godtgjørelse å utbetale for sjøfugltellinger i reservater</t>
  </si>
  <si>
    <r>
      <t>Driftsresultat 2014/</t>
    </r>
    <r>
      <rPr>
        <b/>
        <sz val="10"/>
        <color indexed="57"/>
        <rFont val="Arial"/>
        <family val="2"/>
      </rPr>
      <t>overskudd</t>
    </r>
  </si>
  <si>
    <t>*</t>
  </si>
  <si>
    <t>Kortsiktig gjeld (driftskonto)</t>
  </si>
  <si>
    <t>Kortsiktig gjeld (prosjektkonto)</t>
  </si>
  <si>
    <t>DnB rentespar (7058.96.70537)</t>
  </si>
  <si>
    <t>Mva-kompensasjon (kr 4772) fra Lotteri- og stiftelsestilsynet, via sentral søknad, basert på 2013-utgifter.</t>
  </si>
  <si>
    <t>Sted og dato:</t>
  </si>
  <si>
    <t>Tromøy, 6. april 2015</t>
  </si>
  <si>
    <t>194 betalende medlemmer (193 i 2013), derav 136 (107) med lokalt tillegg, 10 (9) familier og 2 (2) junior. Detaljer i bilag nr 80.</t>
  </si>
  <si>
    <t>Sør-kontoen er avsluttet</t>
  </si>
  <si>
    <t>Prosjekt ilanddrevne sjøfugl: dugnadsgave</t>
  </si>
</sst>
</file>

<file path=xl/styles.xml><?xml version="1.0" encoding="utf-8"?>
<styleSheet xmlns="http://schemas.openxmlformats.org/spreadsheetml/2006/main">
  <numFmts count="2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i&quot;"/>
    <numFmt numFmtId="173" formatCode="&quot;Sann&quot;;&quot;Sann&quot;;&quot;Usann&quot;"/>
    <numFmt numFmtId="174" formatCode="&quot;På&quot;;&quot;På&quot;;&quot;Av&quot;"/>
    <numFmt numFmtId="175" formatCode="[$-414]d\.\ mmmm\ yyyy"/>
    <numFmt numFmtId="176" formatCode="d/m/;@"/>
    <numFmt numFmtId="177" formatCode="dd/mm/yy;@"/>
    <numFmt numFmtId="178" formatCode="0.0\ %"/>
  </numFmts>
  <fonts count="29">
    <font>
      <sz val="10"/>
      <name val="Arial"/>
      <family val="0"/>
    </font>
    <font>
      <b/>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9"/>
      <name val="Arial"/>
      <family val="0"/>
    </font>
    <font>
      <u val="single"/>
      <sz val="10"/>
      <color indexed="12"/>
      <name val="Arial"/>
      <family val="0"/>
    </font>
    <font>
      <u val="single"/>
      <sz val="10"/>
      <color indexed="20"/>
      <name val="Arial"/>
      <family val="0"/>
    </font>
    <font>
      <sz val="9"/>
      <name val="Tahoma"/>
      <family val="0"/>
    </font>
    <font>
      <b/>
      <sz val="9"/>
      <name val="Tahoma"/>
      <family val="0"/>
    </font>
    <font>
      <sz val="10"/>
      <color indexed="10"/>
      <name val="Arial"/>
      <family val="2"/>
    </font>
    <font>
      <sz val="9"/>
      <color indexed="10"/>
      <name val="Arial"/>
      <family val="2"/>
    </font>
    <font>
      <b/>
      <sz val="10"/>
      <color indexed="57"/>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gray0625">
        <bgColor indexed="22"/>
      </patternFill>
    </fill>
    <fill>
      <patternFill patternType="gray0625">
        <fgColor indexed="27"/>
        <bgColor indexed="26"/>
      </patternFill>
    </fill>
    <fill>
      <patternFill patternType="solid">
        <fgColor indexed="50"/>
        <bgColor indexed="64"/>
      </patternFill>
    </fill>
    <fill>
      <patternFill patternType="gray0625">
        <fgColor indexed="27"/>
        <bgColor indexed="42"/>
      </patternFill>
    </fill>
    <fill>
      <patternFill patternType="solid">
        <fgColor indexed="41"/>
        <bgColor indexed="64"/>
      </patternFill>
    </fill>
    <fill>
      <patternFill patternType="gray0625">
        <fgColor indexed="27"/>
        <bgColor indexed="41"/>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double"/>
    </border>
    <border>
      <left style="thin"/>
      <right style="medium"/>
      <top>
        <color indexed="63"/>
      </top>
      <bottom style="double"/>
    </border>
    <border>
      <left>
        <color indexed="63"/>
      </left>
      <right>
        <color indexed="63"/>
      </right>
      <top style="thin"/>
      <bottom style="double"/>
    </border>
    <border>
      <left>
        <color indexed="63"/>
      </left>
      <right>
        <color indexed="63"/>
      </right>
      <top>
        <color indexed="63"/>
      </top>
      <bottom style="medium"/>
    </border>
    <border>
      <left style="thin"/>
      <right>
        <color indexed="63"/>
      </right>
      <top style="medium"/>
      <bottom style="thin"/>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color indexed="63"/>
      </right>
      <top>
        <color indexed="63"/>
      </top>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2" fillId="0" borderId="0" applyNumberFormat="0" applyFill="0" applyBorder="0" applyAlignment="0" applyProtection="0"/>
    <xf numFmtId="0" fontId="5" fillId="16" borderId="1" applyNumberFormat="0" applyAlignment="0" applyProtection="0"/>
    <xf numFmtId="0" fontId="6" fillId="3" borderId="0" applyNumberFormat="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0" fontId="9" fillId="7" borderId="1" applyNumberFormat="0" applyAlignment="0" applyProtection="0"/>
    <xf numFmtId="0" fontId="10" fillId="0" borderId="2" applyNumberFormat="0" applyFill="0" applyAlignment="0" applyProtection="0"/>
    <xf numFmtId="0" fontId="11" fillId="17" borderId="3" applyNumberFormat="0" applyAlignment="0" applyProtection="0"/>
    <xf numFmtId="0" fontId="0" fillId="18" borderId="4" applyNumberFormat="0" applyFont="0" applyAlignment="0" applyProtection="0"/>
    <xf numFmtId="0" fontId="12" fillId="19"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6" borderId="9" applyNumberFormat="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153">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11" xfId="0" applyBorder="1" applyAlignment="1">
      <alignment/>
    </xf>
    <xf numFmtId="4" fontId="0" fillId="0" borderId="0" xfId="0" applyNumberFormat="1" applyAlignment="1">
      <alignment/>
    </xf>
    <xf numFmtId="4" fontId="0" fillId="0" borderId="0" xfId="0" applyNumberFormat="1" applyFont="1" applyBorder="1" applyAlignment="1">
      <alignment/>
    </xf>
    <xf numFmtId="4" fontId="0" fillId="0" borderId="0" xfId="0" applyNumberFormat="1" applyBorder="1" applyAlignment="1">
      <alignment/>
    </xf>
    <xf numFmtId="4" fontId="0" fillId="0" borderId="12" xfId="0" applyNumberFormat="1" applyBorder="1" applyAlignment="1">
      <alignment horizontal="center"/>
    </xf>
    <xf numFmtId="4" fontId="0" fillId="0" borderId="13" xfId="0" applyNumberFormat="1" applyBorder="1" applyAlignment="1">
      <alignment horizontal="center"/>
    </xf>
    <xf numFmtId="4" fontId="0" fillId="0" borderId="14" xfId="0" applyNumberFormat="1" applyFont="1" applyBorder="1" applyAlignment="1">
      <alignment/>
    </xf>
    <xf numFmtId="4" fontId="0" fillId="0" borderId="12" xfId="0" applyNumberFormat="1" applyFont="1" applyBorder="1" applyAlignment="1">
      <alignment/>
    </xf>
    <xf numFmtId="4" fontId="0" fillId="0" borderId="13" xfId="0" applyNumberFormat="1" applyFont="1" applyBorder="1" applyAlignment="1">
      <alignment/>
    </xf>
    <xf numFmtId="4" fontId="0" fillId="0" borderId="12" xfId="0" applyNumberFormat="1" applyBorder="1" applyAlignment="1">
      <alignment horizontal="right"/>
    </xf>
    <xf numFmtId="4" fontId="0" fillId="0" borderId="15" xfId="0" applyNumberFormat="1" applyFont="1" applyBorder="1" applyAlignment="1">
      <alignment/>
    </xf>
    <xf numFmtId="4" fontId="0" fillId="0" borderId="12" xfId="0" applyNumberFormat="1" applyBorder="1" applyAlignment="1">
      <alignment/>
    </xf>
    <xf numFmtId="4" fontId="0" fillId="0" borderId="13" xfId="0" applyNumberFormat="1" applyBorder="1" applyAlignment="1">
      <alignment/>
    </xf>
    <xf numFmtId="4" fontId="0" fillId="0" borderId="16" xfId="0" applyNumberFormat="1" applyFont="1" applyBorder="1" applyAlignment="1">
      <alignment/>
    </xf>
    <xf numFmtId="4" fontId="0" fillId="0" borderId="17" xfId="0" applyNumberFormat="1" applyFont="1" applyBorder="1" applyAlignment="1">
      <alignment/>
    </xf>
    <xf numFmtId="4" fontId="0" fillId="0" borderId="18" xfId="0" applyNumberFormat="1" applyFont="1" applyBorder="1" applyAlignment="1">
      <alignment/>
    </xf>
    <xf numFmtId="4" fontId="0" fillId="0" borderId="13" xfId="0" applyNumberFormat="1" applyBorder="1" applyAlignment="1">
      <alignment horizontal="right"/>
    </xf>
    <xf numFmtId="4" fontId="0" fillId="0" borderId="13" xfId="0" applyNumberFormat="1" applyFont="1" applyBorder="1" applyAlignment="1">
      <alignment horizontal="right"/>
    </xf>
    <xf numFmtId="4" fontId="0" fillId="0" borderId="15" xfId="0" applyNumberFormat="1" applyFont="1" applyBorder="1" applyAlignment="1">
      <alignment horizontal="right"/>
    </xf>
    <xf numFmtId="4" fontId="0" fillId="0" borderId="19" xfId="0" applyNumberFormat="1" applyBorder="1" applyAlignment="1">
      <alignment/>
    </xf>
    <xf numFmtId="0" fontId="1" fillId="0" borderId="0" xfId="0" applyFont="1" applyAlignment="1">
      <alignment/>
    </xf>
    <xf numFmtId="4" fontId="0" fillId="0" borderId="11" xfId="0" applyNumberFormat="1" applyBorder="1" applyAlignment="1">
      <alignment/>
    </xf>
    <xf numFmtId="0" fontId="0" fillId="0" borderId="19" xfId="0" applyBorder="1" applyAlignment="1">
      <alignment/>
    </xf>
    <xf numFmtId="0" fontId="0" fillId="0" borderId="19" xfId="0" applyFill="1" applyBorder="1" applyAlignment="1">
      <alignment/>
    </xf>
    <xf numFmtId="0" fontId="0" fillId="24" borderId="0" xfId="0" applyFill="1" applyAlignment="1">
      <alignment/>
    </xf>
    <xf numFmtId="4" fontId="0" fillId="24" borderId="0" xfId="0" applyNumberFormat="1" applyFill="1" applyBorder="1" applyAlignment="1">
      <alignment/>
    </xf>
    <xf numFmtId="0" fontId="0" fillId="24" borderId="0" xfId="0" applyFill="1" applyBorder="1" applyAlignment="1">
      <alignment/>
    </xf>
    <xf numFmtId="1" fontId="0" fillId="16" borderId="20" xfId="0" applyNumberFormat="1" applyFill="1" applyBorder="1" applyAlignment="1">
      <alignment/>
    </xf>
    <xf numFmtId="1" fontId="1" fillId="25" borderId="0" xfId="0" applyNumberFormat="1" applyFont="1" applyFill="1" applyAlignment="1">
      <alignment/>
    </xf>
    <xf numFmtId="1" fontId="0" fillId="16" borderId="0" xfId="0" applyNumberFormat="1" applyFill="1" applyAlignment="1">
      <alignment/>
    </xf>
    <xf numFmtId="0" fontId="0" fillId="16" borderId="0" xfId="0" applyFill="1" applyAlignment="1">
      <alignment/>
    </xf>
    <xf numFmtId="0" fontId="0" fillId="16" borderId="21" xfId="0" applyFill="1" applyBorder="1" applyAlignment="1">
      <alignment horizontal="center"/>
    </xf>
    <xf numFmtId="0" fontId="0" fillId="25" borderId="0" xfId="0" applyFill="1" applyAlignment="1">
      <alignment/>
    </xf>
    <xf numFmtId="4" fontId="0" fillId="16" borderId="12" xfId="0" applyNumberFormat="1" applyFill="1" applyBorder="1" applyAlignment="1">
      <alignment horizontal="center"/>
    </xf>
    <xf numFmtId="4" fontId="0" fillId="16" borderId="13" xfId="0" applyNumberFormat="1" applyFill="1" applyBorder="1" applyAlignment="1">
      <alignment horizontal="center"/>
    </xf>
    <xf numFmtId="0" fontId="0" fillId="16" borderId="10" xfId="0" applyFill="1" applyBorder="1" applyAlignment="1">
      <alignment horizontal="center"/>
    </xf>
    <xf numFmtId="4" fontId="0" fillId="25" borderId="0" xfId="0" applyNumberFormat="1" applyFill="1" applyBorder="1" applyAlignment="1">
      <alignment/>
    </xf>
    <xf numFmtId="49" fontId="0" fillId="26" borderId="22" xfId="0" applyNumberFormat="1" applyFill="1" applyBorder="1" applyAlignment="1">
      <alignment horizontal="center"/>
    </xf>
    <xf numFmtId="1" fontId="0" fillId="26" borderId="20" xfId="0" applyNumberFormat="1" applyFill="1" applyBorder="1" applyAlignment="1">
      <alignment horizontal="center"/>
    </xf>
    <xf numFmtId="0" fontId="0" fillId="26" borderId="0" xfId="0" applyFill="1" applyAlignment="1">
      <alignment/>
    </xf>
    <xf numFmtId="49" fontId="0" fillId="26" borderId="23" xfId="0" applyNumberFormat="1" applyFill="1" applyBorder="1" applyAlignment="1">
      <alignment horizontal="center"/>
    </xf>
    <xf numFmtId="1" fontId="0" fillId="26" borderId="0" xfId="0" applyNumberFormat="1" applyFill="1" applyAlignment="1">
      <alignment horizontal="center"/>
    </xf>
    <xf numFmtId="0" fontId="0" fillId="26" borderId="20" xfId="0" applyFill="1" applyBorder="1" applyAlignment="1">
      <alignment/>
    </xf>
    <xf numFmtId="1" fontId="0" fillId="26" borderId="24" xfId="0" applyNumberFormat="1" applyFont="1" applyFill="1" applyBorder="1" applyAlignment="1">
      <alignment horizontal="center"/>
    </xf>
    <xf numFmtId="1" fontId="0" fillId="26" borderId="25" xfId="0" applyNumberFormat="1" applyFont="1" applyFill="1" applyBorder="1" applyAlignment="1">
      <alignment horizontal="center"/>
    </xf>
    <xf numFmtId="1" fontId="0" fillId="26" borderId="0" xfId="0" applyNumberFormat="1" applyFont="1" applyFill="1" applyBorder="1" applyAlignment="1">
      <alignment horizontal="center"/>
    </xf>
    <xf numFmtId="0" fontId="0" fillId="26" borderId="26" xfId="0" applyFont="1" applyFill="1" applyBorder="1" applyAlignment="1">
      <alignment horizontal="right"/>
    </xf>
    <xf numFmtId="49" fontId="0" fillId="26" borderId="26" xfId="0" applyNumberFormat="1" applyFont="1" applyFill="1" applyBorder="1" applyAlignment="1">
      <alignment horizontal="center"/>
    </xf>
    <xf numFmtId="1" fontId="0" fillId="26" borderId="26" xfId="0" applyNumberFormat="1" applyFont="1" applyFill="1" applyBorder="1" applyAlignment="1">
      <alignment horizontal="center"/>
    </xf>
    <xf numFmtId="0" fontId="0" fillId="26" borderId="0" xfId="0" applyFont="1" applyFill="1" applyBorder="1" applyAlignment="1">
      <alignment horizontal="right"/>
    </xf>
    <xf numFmtId="49" fontId="0" fillId="26" borderId="0" xfId="0" applyNumberFormat="1" applyFont="1" applyFill="1" applyBorder="1" applyAlignment="1">
      <alignment horizontal="center"/>
    </xf>
    <xf numFmtId="1" fontId="0" fillId="26" borderId="0" xfId="0" applyNumberFormat="1" applyFont="1" applyFill="1" applyBorder="1" applyAlignment="1">
      <alignment horizontal="center"/>
    </xf>
    <xf numFmtId="49" fontId="0" fillId="26" borderId="0" xfId="0" applyNumberFormat="1" applyFill="1" applyAlignment="1">
      <alignment horizontal="center"/>
    </xf>
    <xf numFmtId="4" fontId="0" fillId="0" borderId="12" xfId="0" applyNumberFormat="1" applyFont="1" applyBorder="1" applyAlignment="1">
      <alignment horizontal="right"/>
    </xf>
    <xf numFmtId="4" fontId="0" fillId="0" borderId="14" xfId="0" applyNumberFormat="1" applyFont="1" applyBorder="1" applyAlignment="1">
      <alignment horizontal="right"/>
    </xf>
    <xf numFmtId="0" fontId="0" fillId="0" borderId="11" xfId="0" applyFill="1" applyBorder="1" applyAlignment="1">
      <alignment/>
    </xf>
    <xf numFmtId="0" fontId="0" fillId="0" borderId="0" xfId="0" applyFont="1" applyBorder="1" applyAlignment="1">
      <alignment/>
    </xf>
    <xf numFmtId="0" fontId="0" fillId="0" borderId="0" xfId="0" applyFont="1" applyFill="1" applyBorder="1" applyAlignment="1">
      <alignment/>
    </xf>
    <xf numFmtId="4" fontId="0" fillId="0" borderId="0" xfId="0" applyNumberFormat="1" applyBorder="1" applyAlignment="1">
      <alignment horizontal="right"/>
    </xf>
    <xf numFmtId="4" fontId="0" fillId="0" borderId="0" xfId="0" applyNumberFormat="1" applyBorder="1" applyAlignment="1">
      <alignment horizontal="center"/>
    </xf>
    <xf numFmtId="0" fontId="0" fillId="0" borderId="0" xfId="0" applyAlignment="1" quotePrefix="1">
      <alignment/>
    </xf>
    <xf numFmtId="1" fontId="0" fillId="26" borderId="20" xfId="0" applyNumberFormat="1" applyFont="1" applyFill="1" applyBorder="1" applyAlignment="1">
      <alignment/>
    </xf>
    <xf numFmtId="0" fontId="0" fillId="26" borderId="0" xfId="0" applyFont="1" applyFill="1" applyBorder="1" applyAlignment="1">
      <alignment/>
    </xf>
    <xf numFmtId="49" fontId="0" fillId="26" borderId="22" xfId="0" applyNumberFormat="1" applyFont="1" applyFill="1" applyBorder="1" applyAlignment="1">
      <alignment horizontal="center"/>
    </xf>
    <xf numFmtId="4" fontId="0" fillId="0" borderId="0" xfId="0" applyNumberFormat="1" applyFont="1" applyBorder="1" applyAlignment="1">
      <alignment horizontal="right"/>
    </xf>
    <xf numFmtId="4" fontId="0" fillId="22" borderId="0" xfId="0" applyNumberFormat="1" applyFill="1" applyAlignment="1">
      <alignment/>
    </xf>
    <xf numFmtId="14" fontId="0" fillId="0" borderId="0" xfId="0" applyNumberFormat="1" applyAlignment="1">
      <alignment/>
    </xf>
    <xf numFmtId="4" fontId="0" fillId="0" borderId="11" xfId="0" applyNumberFormat="1" applyFont="1" applyBorder="1" applyAlignment="1">
      <alignment horizontal="right"/>
    </xf>
    <xf numFmtId="0" fontId="0" fillId="0" borderId="10" xfId="0" applyBorder="1" applyAlignment="1">
      <alignment horizontal="center"/>
    </xf>
    <xf numFmtId="4" fontId="0" fillId="0" borderId="0" xfId="0" applyNumberFormat="1" applyFill="1" applyAlignment="1">
      <alignment/>
    </xf>
    <xf numFmtId="0" fontId="0" fillId="0" borderId="0" xfId="0" applyAlignment="1">
      <alignment horizontal="center"/>
    </xf>
    <xf numFmtId="0" fontId="0" fillId="0" borderId="0" xfId="0" applyAlignment="1">
      <alignment wrapText="1"/>
    </xf>
    <xf numFmtId="0" fontId="0" fillId="0" borderId="0" xfId="0" applyAlignment="1">
      <alignment vertical="top"/>
    </xf>
    <xf numFmtId="0" fontId="0" fillId="16" borderId="0" xfId="0" applyFill="1" applyAlignment="1">
      <alignment wrapText="1"/>
    </xf>
    <xf numFmtId="1" fontId="0" fillId="26" borderId="0" xfId="0" applyNumberFormat="1" applyFill="1" applyAlignment="1">
      <alignment horizontal="right"/>
    </xf>
    <xf numFmtId="4" fontId="0" fillId="27" borderId="12" xfId="0" applyNumberFormat="1" applyFill="1" applyBorder="1" applyAlignment="1">
      <alignment horizontal="right"/>
    </xf>
    <xf numFmtId="4" fontId="0" fillId="0" borderId="0" xfId="0" applyNumberFormat="1" applyAlignment="1">
      <alignment vertical="center"/>
    </xf>
    <xf numFmtId="4" fontId="0" fillId="0" borderId="13" xfId="0" applyNumberFormat="1" applyBorder="1" applyAlignment="1">
      <alignment horizontal="center" vertical="center"/>
    </xf>
    <xf numFmtId="4" fontId="0" fillId="0" borderId="12" xfId="0" applyNumberFormat="1" applyBorder="1" applyAlignment="1">
      <alignment horizontal="right" vertical="center"/>
    </xf>
    <xf numFmtId="4" fontId="0" fillId="0" borderId="0" xfId="0" applyNumberFormat="1" applyBorder="1" applyAlignment="1">
      <alignment horizontal="right" vertical="center"/>
    </xf>
    <xf numFmtId="4" fontId="0" fillId="0" borderId="13" xfId="0" applyNumberFormat="1" applyBorder="1" applyAlignment="1">
      <alignment horizontal="right" vertical="center"/>
    </xf>
    <xf numFmtId="4" fontId="0" fillId="0" borderId="12" xfId="0" applyNumberFormat="1"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vertical="center" wrapText="1"/>
    </xf>
    <xf numFmtId="4" fontId="0" fillId="24" borderId="0" xfId="0" applyNumberFormat="1" applyFill="1" applyBorder="1" applyAlignment="1">
      <alignment vertical="center"/>
    </xf>
    <xf numFmtId="0" fontId="0" fillId="0" borderId="0" xfId="0" applyAlignment="1">
      <alignment vertical="center"/>
    </xf>
    <xf numFmtId="0" fontId="0" fillId="28" borderId="27" xfId="0" applyFont="1" applyFill="1" applyBorder="1" applyAlignment="1">
      <alignment/>
    </xf>
    <xf numFmtId="0" fontId="0" fillId="29" borderId="27" xfId="0" applyFont="1" applyFill="1" applyBorder="1" applyAlignment="1">
      <alignment/>
    </xf>
    <xf numFmtId="4" fontId="0" fillId="0" borderId="12" xfId="0" applyNumberFormat="1" applyFill="1" applyBorder="1" applyAlignment="1">
      <alignment horizontal="right"/>
    </xf>
    <xf numFmtId="0" fontId="0" fillId="30" borderId="27" xfId="0" applyFont="1" applyFill="1" applyBorder="1" applyAlignment="1">
      <alignment/>
    </xf>
    <xf numFmtId="0" fontId="0" fillId="0" borderId="27" xfId="0" applyFont="1" applyFill="1" applyBorder="1" applyAlignment="1">
      <alignment/>
    </xf>
    <xf numFmtId="4" fontId="0" fillId="0" borderId="16" xfId="0" applyNumberFormat="1" applyFont="1" applyFill="1" applyBorder="1" applyAlignment="1">
      <alignment/>
    </xf>
    <xf numFmtId="4" fontId="0" fillId="0" borderId="15" xfId="0" applyNumberFormat="1" applyFont="1" applyFill="1" applyBorder="1" applyAlignment="1">
      <alignment/>
    </xf>
    <xf numFmtId="10" fontId="0" fillId="0" borderId="0" xfId="48" applyNumberFormat="1" applyAlignment="1">
      <alignment/>
    </xf>
    <xf numFmtId="4" fontId="0" fillId="4" borderId="0" xfId="0" applyNumberFormat="1" applyFill="1" applyAlignment="1">
      <alignment/>
    </xf>
    <xf numFmtId="14" fontId="0" fillId="0" borderId="27" xfId="0" applyNumberFormat="1" applyFont="1" applyFill="1" applyBorder="1" applyAlignment="1">
      <alignment horizontal="center"/>
    </xf>
    <xf numFmtId="1" fontId="0" fillId="0" borderId="27" xfId="0" applyNumberFormat="1" applyFont="1" applyFill="1" applyBorder="1" applyAlignment="1">
      <alignment horizontal="center"/>
    </xf>
    <xf numFmtId="0" fontId="0" fillId="0" borderId="27" xfId="0" applyFont="1" applyFill="1" applyBorder="1" applyAlignment="1">
      <alignment vertical="center"/>
    </xf>
    <xf numFmtId="14" fontId="0" fillId="0" borderId="27"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0" fontId="0" fillId="19" borderId="27" xfId="0" applyFont="1" applyFill="1" applyBorder="1" applyAlignment="1">
      <alignment/>
    </xf>
    <xf numFmtId="4" fontId="0" fillId="0" borderId="0" xfId="0" applyNumberFormat="1" applyFill="1" applyBorder="1" applyAlignment="1">
      <alignment horizontal="right"/>
    </xf>
    <xf numFmtId="0" fontId="0" fillId="0" borderId="0" xfId="0" applyBorder="1" applyAlignment="1">
      <alignment horizontal="left"/>
    </xf>
    <xf numFmtId="0" fontId="0" fillId="0" borderId="0" xfId="0" applyFont="1" applyBorder="1" applyAlignment="1">
      <alignment/>
    </xf>
    <xf numFmtId="4" fontId="0" fillId="7" borderId="12" xfId="0" applyNumberFormat="1" applyFill="1" applyBorder="1" applyAlignment="1">
      <alignment/>
    </xf>
    <xf numFmtId="4" fontId="0" fillId="7" borderId="13" xfId="0" applyNumberFormat="1" applyFill="1" applyBorder="1" applyAlignment="1">
      <alignment horizontal="right"/>
    </xf>
    <xf numFmtId="0" fontId="0" fillId="28" borderId="0" xfId="0" applyFill="1" applyAlignment="1">
      <alignment/>
    </xf>
    <xf numFmtId="49" fontId="0" fillId="28" borderId="0" xfId="0" applyNumberFormat="1" applyFill="1" applyAlignment="1">
      <alignment horizontal="center"/>
    </xf>
    <xf numFmtId="1" fontId="0" fillId="28" borderId="0" xfId="0" applyNumberFormat="1" applyFill="1" applyAlignment="1">
      <alignment horizontal="center"/>
    </xf>
    <xf numFmtId="4" fontId="0" fillId="4" borderId="12" xfId="0" applyNumberFormat="1" applyFill="1" applyBorder="1" applyAlignment="1">
      <alignment/>
    </xf>
    <xf numFmtId="4" fontId="0" fillId="4" borderId="13" xfId="0" applyNumberFormat="1" applyFill="1" applyBorder="1" applyAlignment="1">
      <alignment/>
    </xf>
    <xf numFmtId="4" fontId="0" fillId="4" borderId="13" xfId="0" applyNumberFormat="1" applyFill="1" applyBorder="1" applyAlignment="1">
      <alignment horizontal="right"/>
    </xf>
    <xf numFmtId="4" fontId="0" fillId="0" borderId="18" xfId="0" applyNumberFormat="1" applyFont="1" applyFill="1" applyBorder="1" applyAlignment="1">
      <alignment/>
    </xf>
    <xf numFmtId="0" fontId="1" fillId="0" borderId="0" xfId="0" applyFont="1" applyAlignment="1">
      <alignment horizontal="right"/>
    </xf>
    <xf numFmtId="0" fontId="0" fillId="0" borderId="27" xfId="0" applyFont="1" applyFill="1" applyBorder="1" applyAlignment="1">
      <alignment wrapText="1"/>
    </xf>
    <xf numFmtId="4" fontId="0" fillId="0" borderId="12" xfId="0" applyNumberFormat="1" applyFill="1" applyBorder="1" applyAlignment="1">
      <alignment horizontal="right" vertical="center"/>
    </xf>
    <xf numFmtId="0" fontId="0" fillId="0" borderId="0" xfId="0" applyBorder="1" applyAlignment="1">
      <alignment horizontal="center" vertical="center"/>
    </xf>
    <xf numFmtId="4" fontId="0" fillId="0" borderId="19" xfId="0" applyNumberFormat="1" applyFill="1" applyBorder="1" applyAlignment="1">
      <alignment/>
    </xf>
    <xf numFmtId="0" fontId="0" fillId="26" borderId="28" xfId="0" applyFont="1" applyFill="1" applyBorder="1" applyAlignment="1">
      <alignment horizontal="right"/>
    </xf>
    <xf numFmtId="49" fontId="0" fillId="26" borderId="29" xfId="0" applyNumberFormat="1" applyFont="1" applyFill="1" applyBorder="1" applyAlignment="1">
      <alignment horizontal="center"/>
    </xf>
    <xf numFmtId="1" fontId="0" fillId="26" borderId="29" xfId="0" applyNumberFormat="1" applyFont="1" applyFill="1" applyBorder="1" applyAlignment="1">
      <alignment horizontal="center"/>
    </xf>
    <xf numFmtId="4" fontId="0" fillId="0" borderId="30" xfId="0" applyNumberFormat="1" applyBorder="1" applyAlignment="1">
      <alignment horizontal="right"/>
    </xf>
    <xf numFmtId="4" fontId="0" fillId="27" borderId="31" xfId="0" applyNumberFormat="1" applyFont="1" applyFill="1" applyBorder="1" applyAlignment="1">
      <alignment/>
    </xf>
    <xf numFmtId="4" fontId="0" fillId="0" borderId="31" xfId="0" applyNumberFormat="1" applyFont="1" applyBorder="1" applyAlignment="1">
      <alignment horizontal="right"/>
    </xf>
    <xf numFmtId="4" fontId="0" fillId="0" borderId="29" xfId="0" applyNumberFormat="1" applyFont="1" applyBorder="1" applyAlignment="1">
      <alignment horizontal="right"/>
    </xf>
    <xf numFmtId="4" fontId="0" fillId="27" borderId="31" xfId="0" applyNumberFormat="1" applyFont="1" applyFill="1" applyBorder="1" applyAlignment="1">
      <alignment horizontal="right"/>
    </xf>
    <xf numFmtId="4" fontId="0" fillId="0" borderId="31" xfId="0" applyNumberFormat="1" applyFont="1" applyBorder="1" applyAlignment="1">
      <alignment/>
    </xf>
    <xf numFmtId="0" fontId="0" fillId="0" borderId="29" xfId="0" applyBorder="1" applyAlignment="1">
      <alignment/>
    </xf>
    <xf numFmtId="4" fontId="0" fillId="24" borderId="32" xfId="0" applyNumberFormat="1" applyFill="1" applyBorder="1" applyAlignment="1">
      <alignment/>
    </xf>
    <xf numFmtId="0" fontId="0" fillId="0" borderId="0" xfId="0" applyFill="1" applyAlignment="1">
      <alignment wrapText="1"/>
    </xf>
    <xf numFmtId="4" fontId="0" fillId="0" borderId="0" xfId="0" applyNumberFormat="1" applyFill="1" applyBorder="1" applyAlignment="1">
      <alignment horizontal="center"/>
    </xf>
    <xf numFmtId="0" fontId="0" fillId="0" borderId="0" xfId="0" applyAlignment="1">
      <alignment horizontal="right"/>
    </xf>
    <xf numFmtId="4" fontId="0" fillId="0" borderId="11" xfId="0" applyNumberFormat="1" applyFill="1" applyBorder="1" applyAlignment="1">
      <alignment/>
    </xf>
    <xf numFmtId="0" fontId="0" fillId="0" borderId="0" xfId="0" applyFont="1" applyAlignment="1">
      <alignment horizontal="left" indent="1"/>
    </xf>
    <xf numFmtId="0" fontId="0" fillId="0" borderId="0" xfId="0" applyAlignment="1">
      <alignment horizontal="left" indent="1"/>
    </xf>
    <xf numFmtId="0" fontId="0" fillId="0" borderId="0" xfId="0" applyAlignment="1">
      <alignment horizontal="left" wrapText="1" indent="1"/>
    </xf>
    <xf numFmtId="0" fontId="1" fillId="0" borderId="11" xfId="0" applyFont="1" applyBorder="1" applyAlignment="1">
      <alignment horizontal="left" indent="1"/>
    </xf>
    <xf numFmtId="1" fontId="0" fillId="16" borderId="33" xfId="0" applyNumberFormat="1" applyFill="1" applyBorder="1" applyAlignment="1">
      <alignment horizontal="center"/>
    </xf>
    <xf numFmtId="1" fontId="0" fillId="16" borderId="34" xfId="0" applyNumberFormat="1" applyFill="1" applyBorder="1" applyAlignment="1">
      <alignment horizontal="center"/>
    </xf>
    <xf numFmtId="1" fontId="0" fillId="16" borderId="33" xfId="0" applyNumberFormat="1" applyFont="1" applyFill="1" applyBorder="1" applyAlignment="1">
      <alignment horizontal="center"/>
    </xf>
    <xf numFmtId="1" fontId="0" fillId="16" borderId="34" xfId="0" applyNumberFormat="1" applyFont="1" applyFill="1" applyBorder="1" applyAlignment="1">
      <alignment horizontal="center"/>
    </xf>
    <xf numFmtId="4" fontId="0" fillId="16" borderId="35" xfId="0" applyNumberFormat="1" applyFill="1" applyBorder="1" applyAlignment="1">
      <alignment horizontal="center"/>
    </xf>
    <xf numFmtId="4" fontId="0" fillId="16" borderId="36" xfId="0" applyNumberFormat="1" applyFill="1" applyBorder="1" applyAlignment="1">
      <alignment horizontal="center"/>
    </xf>
    <xf numFmtId="4" fontId="0" fillId="16" borderId="37" xfId="0" applyNumberFormat="1" applyFill="1" applyBorder="1" applyAlignment="1">
      <alignment horizontal="center" wrapText="1"/>
    </xf>
    <xf numFmtId="4" fontId="0" fillId="16" borderId="38" xfId="0" applyNumberFormat="1" applyFill="1" applyBorder="1" applyAlignment="1">
      <alignment horizontal="center" wrapText="1"/>
    </xf>
    <xf numFmtId="4" fontId="20" fillId="16" borderId="37" xfId="0" applyNumberFormat="1" applyFont="1" applyFill="1" applyBorder="1" applyAlignment="1">
      <alignment horizontal="center" wrapText="1"/>
    </xf>
    <xf numFmtId="4" fontId="20" fillId="16" borderId="38" xfId="0" applyNumberFormat="1" applyFont="1" applyFill="1" applyBorder="1" applyAlignment="1">
      <alignment horizontal="center" wrapText="1"/>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D7"/>
  <sheetViews>
    <sheetView workbookViewId="0" topLeftCell="A1">
      <selection activeCell="A5" sqref="A5"/>
    </sheetView>
  </sheetViews>
  <sheetFormatPr defaultColWidth="11.421875" defaultRowHeight="12.75"/>
  <cols>
    <col min="2" max="2" width="17.7109375" style="0" bestFit="1" customWidth="1"/>
  </cols>
  <sheetData>
    <row r="3" ht="12.75">
      <c r="D3" t="s">
        <v>53</v>
      </c>
    </row>
    <row r="4" spans="1:4" ht="12.75">
      <c r="A4" t="s">
        <v>64</v>
      </c>
      <c r="D4">
        <v>1000</v>
      </c>
    </row>
    <row r="5" ht="12.75">
      <c r="A5" t="s">
        <v>65</v>
      </c>
    </row>
    <row r="6" ht="12.75">
      <c r="A6" s="72" t="s">
        <v>66</v>
      </c>
    </row>
    <row r="7" ht="12.75">
      <c r="A7" t="s">
        <v>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0"/>
  </sheetPr>
  <dimension ref="A1:AX126"/>
  <sheetViews>
    <sheetView zoomScalePageLayoutView="0" workbookViewId="0" topLeftCell="A1">
      <pane xSplit="9" ySplit="3" topLeftCell="J103" activePane="bottomRight" state="frozen"/>
      <selection pane="topLeft" activeCell="G101" sqref="G101"/>
      <selection pane="topRight" activeCell="A3" sqref="A3"/>
      <selection pane="bottomLeft" activeCell="A59" sqref="A59"/>
      <selection pane="bottomRight" activeCell="C115" sqref="C115"/>
    </sheetView>
  </sheetViews>
  <sheetFormatPr defaultColWidth="11.421875" defaultRowHeight="12.75"/>
  <cols>
    <col min="1" max="1" width="52.7109375" style="45" bestFit="1" customWidth="1"/>
    <col min="2" max="2" width="11.421875" style="58" customWidth="1"/>
    <col min="3" max="3" width="6.28125" style="47" customWidth="1"/>
    <col min="4" max="4" width="9.140625" style="17" bestFit="1" customWidth="1"/>
    <col min="5" max="5" width="10.57421875" style="18" customWidth="1"/>
    <col min="6" max="6" width="10.7109375" style="17" customWidth="1"/>
    <col min="7" max="7" width="11.00390625" style="22" customWidth="1"/>
    <col min="8" max="11" width="11.421875" style="64" customWidth="1"/>
    <col min="12" max="12" width="11.421875" style="17" customWidth="1"/>
    <col min="13" max="13" width="11.421875" style="22" customWidth="1"/>
    <col min="14" max="14" width="11.421875" style="17" customWidth="1"/>
    <col min="15" max="15" width="11.421875" style="22" customWidth="1"/>
    <col min="16" max="16" width="11.421875" style="17" customWidth="1"/>
    <col min="17" max="17" width="11.421875" style="22" customWidth="1"/>
    <col min="18" max="18" width="11.421875" style="17" customWidth="1"/>
    <col min="19" max="19" width="11.421875" style="22" customWidth="1"/>
    <col min="20" max="20" width="11.421875" style="17" customWidth="1"/>
    <col min="21" max="21" width="11.421875" style="18" customWidth="1"/>
    <col min="22" max="22" width="11.421875" style="17" customWidth="1"/>
    <col min="23" max="23" width="11.421875" style="18" customWidth="1"/>
    <col min="24" max="24" width="11.421875" style="17" customWidth="1"/>
    <col min="25" max="25" width="11.421875" style="18" customWidth="1"/>
    <col min="26" max="26" width="11.421875" style="17" customWidth="1"/>
    <col min="27" max="27" width="11.421875" style="18" customWidth="1"/>
    <col min="28" max="28" width="11.421875" style="15" customWidth="1"/>
    <col min="29" max="29" width="11.421875" style="18" customWidth="1"/>
    <col min="30" max="30" width="11.421875" style="15" customWidth="1"/>
    <col min="31" max="31" width="11.421875" style="22" customWidth="1"/>
    <col min="32" max="32" width="11.421875" style="15" customWidth="1"/>
    <col min="33" max="33" width="11.421875" style="22" customWidth="1"/>
    <col min="34" max="34" width="11.421875" style="17" customWidth="1"/>
    <col min="35" max="35" width="11.421875" style="18" customWidth="1"/>
    <col min="36" max="36" width="11.421875" style="17" customWidth="1"/>
    <col min="37" max="37" width="11.421875" style="18" customWidth="1"/>
    <col min="38" max="38" width="11.421875" style="17" customWidth="1"/>
    <col min="39" max="39" width="11.421875" style="18" customWidth="1"/>
    <col min="40" max="40" width="11.421875" style="17" customWidth="1"/>
    <col min="41" max="41" width="11.421875" style="18" customWidth="1"/>
    <col min="42" max="42" width="11.421875" style="17" customWidth="1"/>
    <col min="43" max="43" width="11.421875" style="18" customWidth="1"/>
    <col min="44" max="44" width="38.57421875" style="0" customWidth="1"/>
    <col min="45" max="47" width="11.421875" style="30" customWidth="1"/>
  </cols>
  <sheetData>
    <row r="1" spans="1:47" s="35" customFormat="1" ht="13.5" thickBot="1">
      <c r="A1" s="67" t="s">
        <v>68</v>
      </c>
      <c r="B1" s="43"/>
      <c r="C1" s="44"/>
      <c r="D1" s="143">
        <v>1</v>
      </c>
      <c r="E1" s="144"/>
      <c r="F1" s="145" t="s">
        <v>54</v>
      </c>
      <c r="G1" s="146"/>
      <c r="H1" s="145" t="s">
        <v>55</v>
      </c>
      <c r="I1" s="146"/>
      <c r="J1" s="143" t="s">
        <v>60</v>
      </c>
      <c r="K1" s="144"/>
      <c r="L1" s="143" t="s">
        <v>61</v>
      </c>
      <c r="M1" s="144"/>
      <c r="N1" s="143">
        <v>4</v>
      </c>
      <c r="O1" s="144"/>
      <c r="P1" s="143">
        <v>5</v>
      </c>
      <c r="Q1" s="144"/>
      <c r="R1" s="143">
        <v>6</v>
      </c>
      <c r="S1" s="144"/>
      <c r="T1" s="143">
        <v>7</v>
      </c>
      <c r="U1" s="144"/>
      <c r="V1" s="143">
        <v>8</v>
      </c>
      <c r="W1" s="144"/>
      <c r="X1" s="143">
        <v>9</v>
      </c>
      <c r="Y1" s="144"/>
      <c r="Z1" s="143">
        <v>10</v>
      </c>
      <c r="AA1" s="144"/>
      <c r="AB1" s="143">
        <v>11</v>
      </c>
      <c r="AC1" s="144"/>
      <c r="AD1" s="143">
        <v>12</v>
      </c>
      <c r="AE1" s="144"/>
      <c r="AF1" s="143">
        <v>13</v>
      </c>
      <c r="AG1" s="144"/>
      <c r="AH1" s="143">
        <v>14</v>
      </c>
      <c r="AI1" s="144"/>
      <c r="AJ1" s="143">
        <v>15</v>
      </c>
      <c r="AK1" s="144"/>
      <c r="AL1" s="143">
        <v>16</v>
      </c>
      <c r="AM1" s="144"/>
      <c r="AN1" s="143">
        <v>17</v>
      </c>
      <c r="AO1" s="144"/>
      <c r="AP1" s="143">
        <v>18</v>
      </c>
      <c r="AQ1" s="144"/>
      <c r="AR1" s="33"/>
      <c r="AS1" s="34" t="s">
        <v>12</v>
      </c>
      <c r="AT1" s="34" t="s">
        <v>12</v>
      </c>
      <c r="AU1" s="34" t="s">
        <v>13</v>
      </c>
    </row>
    <row r="2" spans="1:47" s="36" customFormat="1" ht="26.25" customHeight="1">
      <c r="A2" s="45" t="s">
        <v>52</v>
      </c>
      <c r="B2" s="46" t="s">
        <v>0</v>
      </c>
      <c r="C2" s="47" t="s">
        <v>11</v>
      </c>
      <c r="D2" s="147" t="s">
        <v>174</v>
      </c>
      <c r="E2" s="148"/>
      <c r="F2" s="149" t="s">
        <v>154</v>
      </c>
      <c r="G2" s="150"/>
      <c r="H2" s="149" t="s">
        <v>56</v>
      </c>
      <c r="I2" s="150"/>
      <c r="J2" s="151" t="s">
        <v>155</v>
      </c>
      <c r="K2" s="152"/>
      <c r="L2" s="151" t="s">
        <v>57</v>
      </c>
      <c r="M2" s="152"/>
      <c r="N2" s="147" t="s">
        <v>42</v>
      </c>
      <c r="O2" s="148"/>
      <c r="P2" s="147" t="s">
        <v>15</v>
      </c>
      <c r="Q2" s="148"/>
      <c r="R2" s="147" t="s">
        <v>9</v>
      </c>
      <c r="S2" s="148"/>
      <c r="T2" s="147" t="s">
        <v>10</v>
      </c>
      <c r="U2" s="148"/>
      <c r="V2" s="147" t="s">
        <v>17</v>
      </c>
      <c r="W2" s="148"/>
      <c r="X2" s="149" t="s">
        <v>58</v>
      </c>
      <c r="Y2" s="150"/>
      <c r="Z2" s="147" t="s">
        <v>38</v>
      </c>
      <c r="AA2" s="148"/>
      <c r="AB2" s="147" t="s">
        <v>8</v>
      </c>
      <c r="AC2" s="148"/>
      <c r="AD2" s="147" t="s">
        <v>6</v>
      </c>
      <c r="AE2" s="148"/>
      <c r="AF2" s="147" t="s">
        <v>19</v>
      </c>
      <c r="AG2" s="148"/>
      <c r="AH2" s="147" t="s">
        <v>16</v>
      </c>
      <c r="AI2" s="148"/>
      <c r="AJ2" s="147" t="s">
        <v>195</v>
      </c>
      <c r="AK2" s="148"/>
      <c r="AL2" s="147" t="s">
        <v>7</v>
      </c>
      <c r="AM2" s="148"/>
      <c r="AN2" s="147" t="s">
        <v>33</v>
      </c>
      <c r="AO2" s="148"/>
      <c r="AP2" s="147" t="s">
        <v>164</v>
      </c>
      <c r="AQ2" s="148"/>
      <c r="AR2" s="37" t="s">
        <v>1</v>
      </c>
      <c r="AS2" s="38"/>
      <c r="AT2" s="38"/>
      <c r="AU2" s="38" t="s">
        <v>36</v>
      </c>
    </row>
    <row r="3" spans="1:50" s="36" customFormat="1" ht="26.25" customHeight="1" thickBot="1">
      <c r="A3" s="48" t="s">
        <v>14</v>
      </c>
      <c r="B3" s="69" t="s">
        <v>69</v>
      </c>
      <c r="C3" s="49" t="s">
        <v>37</v>
      </c>
      <c r="D3" s="39" t="s">
        <v>2</v>
      </c>
      <c r="E3" s="40" t="s">
        <v>3</v>
      </c>
      <c r="F3" s="39" t="s">
        <v>2</v>
      </c>
      <c r="G3" s="40" t="s">
        <v>3</v>
      </c>
      <c r="H3" s="39" t="s">
        <v>2</v>
      </c>
      <c r="I3" s="40" t="s">
        <v>3</v>
      </c>
      <c r="J3" s="39" t="s">
        <v>2</v>
      </c>
      <c r="K3" s="40" t="s">
        <v>3</v>
      </c>
      <c r="L3" s="39" t="s">
        <v>2</v>
      </c>
      <c r="M3" s="40" t="s">
        <v>3</v>
      </c>
      <c r="N3" s="39" t="s">
        <v>2</v>
      </c>
      <c r="O3" s="40" t="s">
        <v>3</v>
      </c>
      <c r="P3" s="39" t="s">
        <v>2</v>
      </c>
      <c r="Q3" s="40" t="s">
        <v>3</v>
      </c>
      <c r="R3" s="39" t="s">
        <v>2</v>
      </c>
      <c r="S3" s="40" t="s">
        <v>3</v>
      </c>
      <c r="T3" s="39" t="s">
        <v>2</v>
      </c>
      <c r="U3" s="40" t="s">
        <v>3</v>
      </c>
      <c r="V3" s="39" t="s">
        <v>2</v>
      </c>
      <c r="W3" s="40" t="s">
        <v>3</v>
      </c>
      <c r="X3" s="39" t="s">
        <v>2</v>
      </c>
      <c r="Y3" s="40" t="s">
        <v>3</v>
      </c>
      <c r="Z3" s="39" t="s">
        <v>2</v>
      </c>
      <c r="AA3" s="40" t="s">
        <v>3</v>
      </c>
      <c r="AB3" s="39" t="s">
        <v>2</v>
      </c>
      <c r="AC3" s="40" t="s">
        <v>3</v>
      </c>
      <c r="AD3" s="39" t="s">
        <v>2</v>
      </c>
      <c r="AE3" s="40" t="s">
        <v>3</v>
      </c>
      <c r="AF3" s="39" t="s">
        <v>2</v>
      </c>
      <c r="AG3" s="40" t="s">
        <v>3</v>
      </c>
      <c r="AH3" s="39" t="s">
        <v>2</v>
      </c>
      <c r="AI3" s="40" t="s">
        <v>3</v>
      </c>
      <c r="AJ3" s="39" t="s">
        <v>2</v>
      </c>
      <c r="AK3" s="40" t="s">
        <v>3</v>
      </c>
      <c r="AL3" s="39" t="s">
        <v>2</v>
      </c>
      <c r="AM3" s="40" t="s">
        <v>3</v>
      </c>
      <c r="AN3" s="39" t="s">
        <v>2</v>
      </c>
      <c r="AO3" s="40" t="s">
        <v>3</v>
      </c>
      <c r="AP3" s="39" t="s">
        <v>2</v>
      </c>
      <c r="AQ3" s="40" t="s">
        <v>3</v>
      </c>
      <c r="AR3" s="41"/>
      <c r="AS3" s="42"/>
      <c r="AT3" s="42"/>
      <c r="AU3" s="42"/>
      <c r="AV3" s="79" t="s">
        <v>62</v>
      </c>
      <c r="AW3" s="79" t="s">
        <v>63</v>
      </c>
      <c r="AX3" s="79"/>
    </row>
    <row r="4" spans="1:49" ht="12.75">
      <c r="A4" s="68" t="s">
        <v>70</v>
      </c>
      <c r="B4" s="46"/>
      <c r="C4" s="50"/>
      <c r="D4" s="81">
        <v>66054.12</v>
      </c>
      <c r="E4" s="11"/>
      <c r="F4" s="81">
        <v>9854.92</v>
      </c>
      <c r="H4" s="81">
        <v>128834.07</v>
      </c>
      <c r="I4" s="22"/>
      <c r="J4" s="81">
        <v>36666.67</v>
      </c>
      <c r="L4" s="81">
        <v>95269.74</v>
      </c>
      <c r="N4" s="15"/>
      <c r="O4" s="22">
        <v>0</v>
      </c>
      <c r="P4" s="15"/>
      <c r="R4" s="15"/>
      <c r="T4" s="10"/>
      <c r="U4" s="11"/>
      <c r="V4" s="15"/>
      <c r="W4" s="11"/>
      <c r="X4" s="15"/>
      <c r="Y4" s="11"/>
      <c r="Z4" s="10"/>
      <c r="AA4" s="11"/>
      <c r="AC4" s="11"/>
      <c r="AH4" s="10"/>
      <c r="AI4" s="11"/>
      <c r="AJ4" s="10"/>
      <c r="AK4" s="11"/>
      <c r="AL4" s="10"/>
      <c r="AM4" s="11"/>
      <c r="AN4" s="10">
        <v>1000</v>
      </c>
      <c r="AO4" s="11"/>
      <c r="AP4" s="10"/>
      <c r="AQ4" s="11"/>
      <c r="AR4" s="74">
        <f>(5*20)+(50*4)+(10*18)+(20*26)</f>
        <v>1000</v>
      </c>
      <c r="AS4" s="31">
        <f>D4+F4+H4+J4+L4+N4+P4+R4+T4+V4+X4+Z4+AB4+AD4+AF4+AH4+AJ4+AL4+AN4</f>
        <v>337679.51999999996</v>
      </c>
      <c r="AT4" s="31">
        <f>E4+G4+I4+K4+M4+O4+Q4+S4+U4+W4+Y4+AA4+AC4+AE4+AG4+AI4+AK4+AM4+AO4+AQ4</f>
        <v>0</v>
      </c>
      <c r="AU4" s="31">
        <f>AS4-AT4</f>
        <v>337679.51999999996</v>
      </c>
      <c r="AV4" s="71">
        <f>F4+J4</f>
        <v>46521.59</v>
      </c>
      <c r="AW4" s="71">
        <f>H4+L4</f>
        <v>224103.81</v>
      </c>
    </row>
    <row r="5" spans="1:49" ht="12.75">
      <c r="A5" s="92" t="s">
        <v>71</v>
      </c>
      <c r="B5" s="101">
        <v>41642</v>
      </c>
      <c r="C5" s="102">
        <v>1</v>
      </c>
      <c r="D5" s="7"/>
      <c r="E5" s="11"/>
      <c r="F5" s="15"/>
      <c r="G5" s="64"/>
      <c r="H5" s="15">
        <v>400</v>
      </c>
      <c r="I5" s="22"/>
      <c r="J5" s="15"/>
      <c r="L5" s="15"/>
      <c r="N5" s="15"/>
      <c r="P5" s="15"/>
      <c r="R5" s="15"/>
      <c r="T5" s="10"/>
      <c r="U5" s="11">
        <v>400</v>
      </c>
      <c r="V5" s="15"/>
      <c r="W5" s="11"/>
      <c r="X5" s="15"/>
      <c r="Y5" s="11"/>
      <c r="Z5" s="10"/>
      <c r="AA5" s="11"/>
      <c r="AC5" s="11"/>
      <c r="AH5" s="10"/>
      <c r="AI5" s="65"/>
      <c r="AJ5" s="10"/>
      <c r="AK5" s="11"/>
      <c r="AL5" s="10"/>
      <c r="AM5" s="65"/>
      <c r="AN5" s="10"/>
      <c r="AO5" s="11"/>
      <c r="AP5" s="10"/>
      <c r="AQ5" s="11"/>
      <c r="AR5" s="5"/>
      <c r="AS5" s="31">
        <f aca="true" t="shared" si="0" ref="AS5:AS44">D5+F5+H5+J5+L5+N5+P5+R5+T5+V5+X5+Z5+AB5+AD5+AF5+AH5+AJ5+AL5+AN5+AP5</f>
        <v>400</v>
      </c>
      <c r="AT5" s="31">
        <f aca="true" t="shared" si="1" ref="AT5:AT44">E5+G5+I5+K5+M5+O5+Q5+S5+U5+W5+Y5+AA5+AC5+AE5+AG5+AI5+AK5+AM5+AO5+AQ5</f>
        <v>400</v>
      </c>
      <c r="AU5" s="31">
        <f aca="true" t="shared" si="2" ref="AU5:AU44">AS5-AT5</f>
        <v>0</v>
      </c>
      <c r="AV5" s="7">
        <f>AV4+(F5+J5-G5-K5)</f>
        <v>46521.59</v>
      </c>
      <c r="AW5" s="71">
        <f>AW4+(H5+L5-I5-M5)</f>
        <v>224503.81</v>
      </c>
    </row>
    <row r="6" spans="1:49" ht="12.75">
      <c r="A6" s="96" t="s">
        <v>133</v>
      </c>
      <c r="B6" s="101">
        <v>41674</v>
      </c>
      <c r="C6" s="102">
        <v>2</v>
      </c>
      <c r="D6" s="7"/>
      <c r="E6" s="11"/>
      <c r="F6" s="15"/>
      <c r="G6" s="64"/>
      <c r="H6" s="15"/>
      <c r="I6" s="22">
        <v>816</v>
      </c>
      <c r="J6" s="15"/>
      <c r="L6" s="15"/>
      <c r="N6" s="15"/>
      <c r="P6" s="15"/>
      <c r="R6" s="15"/>
      <c r="T6" s="10"/>
      <c r="U6" s="11"/>
      <c r="V6" s="15"/>
      <c r="W6" s="11"/>
      <c r="X6" s="15">
        <v>816</v>
      </c>
      <c r="Y6" s="11"/>
      <c r="Z6" s="10"/>
      <c r="AA6" s="11"/>
      <c r="AC6" s="11"/>
      <c r="AH6" s="10"/>
      <c r="AI6" s="65"/>
      <c r="AJ6" s="10"/>
      <c r="AK6" s="11"/>
      <c r="AL6" s="10"/>
      <c r="AM6" s="65"/>
      <c r="AN6" s="10"/>
      <c r="AO6" s="11"/>
      <c r="AP6" s="10"/>
      <c r="AQ6" s="11"/>
      <c r="AR6" s="5"/>
      <c r="AS6" s="31">
        <f t="shared" si="0"/>
        <v>816</v>
      </c>
      <c r="AT6" s="31">
        <f t="shared" si="1"/>
        <v>816</v>
      </c>
      <c r="AU6" s="31">
        <f t="shared" si="2"/>
        <v>0</v>
      </c>
      <c r="AV6" s="7">
        <f aca="true" t="shared" si="3" ref="AV6:AV69">AV5+(F6+J6-G6-K6)</f>
        <v>46521.59</v>
      </c>
      <c r="AW6" s="7">
        <f aca="true" t="shared" si="4" ref="AW6:AW69">AW5+(H6+L6-I6-M6)</f>
        <v>223687.81</v>
      </c>
    </row>
    <row r="7" spans="1:49" ht="12.75">
      <c r="A7" s="96" t="s">
        <v>134</v>
      </c>
      <c r="B7" s="101">
        <v>41680</v>
      </c>
      <c r="C7" s="102">
        <v>3</v>
      </c>
      <c r="D7" s="7"/>
      <c r="E7" s="11"/>
      <c r="F7" s="15"/>
      <c r="G7" s="64"/>
      <c r="H7" s="15"/>
      <c r="I7" s="22">
        <f>1020-I6</f>
        <v>204</v>
      </c>
      <c r="J7" s="15"/>
      <c r="L7" s="15"/>
      <c r="N7" s="15"/>
      <c r="P7" s="15"/>
      <c r="R7" s="94">
        <v>204</v>
      </c>
      <c r="T7" s="10"/>
      <c r="U7" s="11"/>
      <c r="V7" s="15"/>
      <c r="W7" s="11"/>
      <c r="X7" s="15"/>
      <c r="Y7" s="11"/>
      <c r="Z7" s="10"/>
      <c r="AA7" s="11"/>
      <c r="AC7" s="11"/>
      <c r="AH7" s="10"/>
      <c r="AI7" s="65"/>
      <c r="AJ7" s="10"/>
      <c r="AK7" s="11"/>
      <c r="AL7" s="10"/>
      <c r="AM7" s="65"/>
      <c r="AN7" s="10"/>
      <c r="AO7" s="11"/>
      <c r="AP7" s="10"/>
      <c r="AQ7" s="11"/>
      <c r="AR7" s="5"/>
      <c r="AS7" s="31">
        <f t="shared" si="0"/>
        <v>204</v>
      </c>
      <c r="AT7" s="31">
        <f t="shared" si="1"/>
        <v>204</v>
      </c>
      <c r="AU7" s="31">
        <f t="shared" si="2"/>
        <v>0</v>
      </c>
      <c r="AV7" s="7">
        <f t="shared" si="3"/>
        <v>46521.59</v>
      </c>
      <c r="AW7" s="7">
        <f t="shared" si="4"/>
        <v>223483.81</v>
      </c>
    </row>
    <row r="8" spans="1:49" ht="12.75">
      <c r="A8" s="92" t="s">
        <v>81</v>
      </c>
      <c r="B8" s="101">
        <v>41684</v>
      </c>
      <c r="C8" s="102">
        <v>4</v>
      </c>
      <c r="D8" s="7"/>
      <c r="E8" s="11"/>
      <c r="F8" s="15"/>
      <c r="G8" s="64"/>
      <c r="H8" s="15">
        <v>750</v>
      </c>
      <c r="I8" s="22"/>
      <c r="J8" s="15"/>
      <c r="L8" s="15"/>
      <c r="N8" s="15"/>
      <c r="P8" s="15"/>
      <c r="R8" s="15"/>
      <c r="T8" s="10"/>
      <c r="U8" s="11">
        <v>750</v>
      </c>
      <c r="V8" s="15"/>
      <c r="W8" s="11"/>
      <c r="X8" s="15"/>
      <c r="Y8" s="11"/>
      <c r="Z8" s="10"/>
      <c r="AA8" s="11"/>
      <c r="AC8" s="11"/>
      <c r="AH8" s="10"/>
      <c r="AI8" s="65"/>
      <c r="AJ8" s="10"/>
      <c r="AK8" s="11"/>
      <c r="AL8" s="10"/>
      <c r="AM8" s="65"/>
      <c r="AN8" s="10"/>
      <c r="AO8" s="11"/>
      <c r="AP8" s="10"/>
      <c r="AQ8" s="11"/>
      <c r="AR8" s="5"/>
      <c r="AS8" s="31">
        <f t="shared" si="0"/>
        <v>750</v>
      </c>
      <c r="AT8" s="31">
        <f t="shared" si="1"/>
        <v>750</v>
      </c>
      <c r="AU8" s="31">
        <f t="shared" si="2"/>
        <v>0</v>
      </c>
      <c r="AV8" s="7">
        <f t="shared" si="3"/>
        <v>46521.59</v>
      </c>
      <c r="AW8" s="71">
        <f t="shared" si="4"/>
        <v>224233.81</v>
      </c>
    </row>
    <row r="9" spans="1:49" ht="12.75">
      <c r="A9" s="96" t="s">
        <v>185</v>
      </c>
      <c r="B9" s="101">
        <v>41701</v>
      </c>
      <c r="C9" s="102">
        <v>5</v>
      </c>
      <c r="D9" s="7"/>
      <c r="E9" s="11"/>
      <c r="F9" s="15"/>
      <c r="G9" s="64"/>
      <c r="H9" s="15"/>
      <c r="I9" s="22"/>
      <c r="J9" s="15"/>
      <c r="L9" s="15"/>
      <c r="M9" s="22">
        <v>13003.3</v>
      </c>
      <c r="N9" s="15"/>
      <c r="P9" s="15"/>
      <c r="R9" s="15"/>
      <c r="T9" s="10"/>
      <c r="U9" s="11"/>
      <c r="V9" s="15"/>
      <c r="W9" s="11"/>
      <c r="X9" s="15"/>
      <c r="Y9" s="11"/>
      <c r="Z9" s="10"/>
      <c r="AA9" s="11"/>
      <c r="AC9" s="11"/>
      <c r="AD9" s="15">
        <v>13003.3</v>
      </c>
      <c r="AH9" s="10"/>
      <c r="AI9" s="65"/>
      <c r="AJ9" s="10"/>
      <c r="AK9" s="11"/>
      <c r="AL9" s="10"/>
      <c r="AM9" s="65"/>
      <c r="AN9" s="10"/>
      <c r="AO9" s="11"/>
      <c r="AP9" s="10"/>
      <c r="AQ9" s="11"/>
      <c r="AR9" s="5"/>
      <c r="AS9" s="31">
        <f>D9+F9+H9+J9+L9+N9+P9+R9+T9+V9+X9+Z9+AB9+AD9+AF9+AH9+AJ9+AL9+AN9+AP9</f>
        <v>13003.3</v>
      </c>
      <c r="AT9" s="31">
        <f>E9+G9+I9+K9+M9+O9+Q9+S9+U9+W9+Y9+AA9+AC9+AE9+AG9+AI9+AK9+AM9+AO9+AQ9</f>
        <v>13003.3</v>
      </c>
      <c r="AU9" s="31">
        <f>AS9-AT9</f>
        <v>0</v>
      </c>
      <c r="AV9" s="7">
        <f t="shared" si="3"/>
        <v>46521.59</v>
      </c>
      <c r="AW9" s="7">
        <f t="shared" si="4"/>
        <v>211230.51</v>
      </c>
    </row>
    <row r="10" spans="1:49" ht="12.75">
      <c r="A10" s="96" t="s">
        <v>78</v>
      </c>
      <c r="B10" s="101">
        <v>41708</v>
      </c>
      <c r="C10" s="102">
        <v>6</v>
      </c>
      <c r="D10" s="7"/>
      <c r="E10" s="11"/>
      <c r="F10" s="15"/>
      <c r="G10" s="64"/>
      <c r="H10" s="15">
        <v>200</v>
      </c>
      <c r="I10" s="22"/>
      <c r="J10" s="15"/>
      <c r="L10" s="15"/>
      <c r="N10" s="15"/>
      <c r="P10" s="15"/>
      <c r="Q10" s="22">
        <v>200</v>
      </c>
      <c r="R10" s="15"/>
      <c r="T10" s="10"/>
      <c r="U10" s="11"/>
      <c r="V10" s="15"/>
      <c r="W10" s="11"/>
      <c r="X10" s="15"/>
      <c r="Y10" s="11"/>
      <c r="Z10" s="10"/>
      <c r="AA10" s="11"/>
      <c r="AC10" s="11"/>
      <c r="AH10" s="10"/>
      <c r="AI10" s="65"/>
      <c r="AJ10" s="10"/>
      <c r="AK10" s="11"/>
      <c r="AL10" s="10"/>
      <c r="AM10" s="65"/>
      <c r="AN10" s="10"/>
      <c r="AO10" s="11"/>
      <c r="AP10" s="10"/>
      <c r="AQ10" s="11"/>
      <c r="AR10" s="5"/>
      <c r="AS10" s="31">
        <f t="shared" si="0"/>
        <v>200</v>
      </c>
      <c r="AT10" s="31">
        <f t="shared" si="1"/>
        <v>200</v>
      </c>
      <c r="AU10" s="31">
        <f t="shared" si="2"/>
        <v>0</v>
      </c>
      <c r="AV10" s="7">
        <f t="shared" si="3"/>
        <v>46521.59</v>
      </c>
      <c r="AW10" s="7">
        <f t="shared" si="4"/>
        <v>211430.51</v>
      </c>
    </row>
    <row r="11" spans="1:49" ht="12.75">
      <c r="A11" s="96" t="s">
        <v>72</v>
      </c>
      <c r="B11" s="101">
        <v>41712</v>
      </c>
      <c r="C11" s="102">
        <v>7</v>
      </c>
      <c r="D11" s="7"/>
      <c r="E11" s="11"/>
      <c r="F11" s="15"/>
      <c r="G11" s="64"/>
      <c r="H11" s="15"/>
      <c r="I11" s="22">
        <v>450</v>
      </c>
      <c r="J11" s="15"/>
      <c r="L11" s="15"/>
      <c r="N11" s="15"/>
      <c r="P11" s="15"/>
      <c r="R11" s="15"/>
      <c r="T11" s="10"/>
      <c r="U11" s="11"/>
      <c r="V11" s="15"/>
      <c r="W11" s="11"/>
      <c r="X11" s="15">
        <v>450</v>
      </c>
      <c r="Y11" s="11"/>
      <c r="Z11" s="10"/>
      <c r="AA11" s="11"/>
      <c r="AC11" s="11"/>
      <c r="AH11" s="10"/>
      <c r="AI11" s="65"/>
      <c r="AJ11" s="10"/>
      <c r="AK11" s="11"/>
      <c r="AL11" s="10"/>
      <c r="AM11" s="65"/>
      <c r="AN11" s="10"/>
      <c r="AO11" s="11"/>
      <c r="AP11" s="10"/>
      <c r="AQ11" s="11"/>
      <c r="AR11" s="5"/>
      <c r="AS11" s="31">
        <f t="shared" si="0"/>
        <v>450</v>
      </c>
      <c r="AT11" s="31">
        <f t="shared" si="1"/>
        <v>450</v>
      </c>
      <c r="AU11" s="31">
        <f t="shared" si="2"/>
        <v>0</v>
      </c>
      <c r="AV11" s="7">
        <f t="shared" si="3"/>
        <v>46521.59</v>
      </c>
      <c r="AW11" s="7">
        <f t="shared" si="4"/>
        <v>210980.51</v>
      </c>
    </row>
    <row r="12" spans="1:49" ht="12.75">
      <c r="A12" s="96" t="s">
        <v>73</v>
      </c>
      <c r="B12" s="101">
        <v>41717</v>
      </c>
      <c r="C12" s="102">
        <v>8</v>
      </c>
      <c r="D12" s="7"/>
      <c r="E12" s="11"/>
      <c r="F12" s="15"/>
      <c r="G12" s="64"/>
      <c r="H12" s="15"/>
      <c r="I12" s="22">
        <v>45830</v>
      </c>
      <c r="J12" s="15"/>
      <c r="L12" s="15"/>
      <c r="N12" s="15"/>
      <c r="P12" s="15"/>
      <c r="R12" s="94"/>
      <c r="T12" s="10"/>
      <c r="U12" s="11"/>
      <c r="V12" s="15"/>
      <c r="W12" s="11"/>
      <c r="X12" s="15"/>
      <c r="Y12" s="11"/>
      <c r="Z12" s="10"/>
      <c r="AA12" s="11"/>
      <c r="AC12" s="11"/>
      <c r="AH12" s="10"/>
      <c r="AI12" s="65"/>
      <c r="AJ12" s="10">
        <v>45830</v>
      </c>
      <c r="AK12" s="11"/>
      <c r="AL12" s="10"/>
      <c r="AM12" s="65"/>
      <c r="AN12" s="10"/>
      <c r="AO12" s="11"/>
      <c r="AP12" s="10"/>
      <c r="AQ12" s="11"/>
      <c r="AR12" s="5" t="s">
        <v>74</v>
      </c>
      <c r="AS12" s="31">
        <f t="shared" si="0"/>
        <v>45830</v>
      </c>
      <c r="AT12" s="31">
        <f t="shared" si="1"/>
        <v>45830</v>
      </c>
      <c r="AU12" s="31">
        <f t="shared" si="2"/>
        <v>0</v>
      </c>
      <c r="AV12" s="7">
        <f t="shared" si="3"/>
        <v>46521.59</v>
      </c>
      <c r="AW12" s="7">
        <f t="shared" si="4"/>
        <v>165150.51</v>
      </c>
    </row>
    <row r="13" spans="1:49" ht="12.75">
      <c r="A13" s="96" t="s">
        <v>59</v>
      </c>
      <c r="B13" s="101">
        <v>41729</v>
      </c>
      <c r="C13" s="102">
        <v>9</v>
      </c>
      <c r="D13" s="7"/>
      <c r="E13" s="11"/>
      <c r="F13" s="15"/>
      <c r="G13" s="64"/>
      <c r="H13" s="15"/>
      <c r="I13" s="22">
        <v>3</v>
      </c>
      <c r="J13" s="15"/>
      <c r="L13" s="15"/>
      <c r="N13" s="15"/>
      <c r="P13" s="15"/>
      <c r="R13" s="94"/>
      <c r="T13" s="10"/>
      <c r="U13" s="11"/>
      <c r="V13" s="15"/>
      <c r="W13" s="11"/>
      <c r="X13" s="15">
        <v>3</v>
      </c>
      <c r="Y13" s="11"/>
      <c r="Z13" s="10"/>
      <c r="AA13" s="11"/>
      <c r="AC13" s="11"/>
      <c r="AH13" s="10"/>
      <c r="AI13" s="65"/>
      <c r="AJ13" s="10"/>
      <c r="AK13" s="11"/>
      <c r="AL13" s="10"/>
      <c r="AM13" s="65"/>
      <c r="AN13" s="10"/>
      <c r="AO13" s="11"/>
      <c r="AP13" s="10"/>
      <c r="AQ13" s="11"/>
      <c r="AR13" s="5"/>
      <c r="AS13" s="31">
        <f t="shared" si="0"/>
        <v>3</v>
      </c>
      <c r="AT13" s="31">
        <f t="shared" si="1"/>
        <v>3</v>
      </c>
      <c r="AU13" s="31">
        <f t="shared" si="2"/>
        <v>0</v>
      </c>
      <c r="AV13" s="7">
        <f t="shared" si="3"/>
        <v>46521.59</v>
      </c>
      <c r="AW13" s="71">
        <f t="shared" si="4"/>
        <v>165147.51</v>
      </c>
    </row>
    <row r="14" spans="1:49" ht="12.75">
      <c r="A14" s="96" t="s">
        <v>80</v>
      </c>
      <c r="B14" s="101">
        <v>41733</v>
      </c>
      <c r="C14" s="102">
        <v>10</v>
      </c>
      <c r="D14" s="7"/>
      <c r="E14" s="11"/>
      <c r="F14" s="15"/>
      <c r="G14" s="64"/>
      <c r="H14" s="15">
        <v>46830</v>
      </c>
      <c r="I14" s="22"/>
      <c r="J14" s="15"/>
      <c r="L14" s="15"/>
      <c r="N14" s="15"/>
      <c r="P14" s="15"/>
      <c r="R14" s="94"/>
      <c r="T14" s="10"/>
      <c r="U14" s="11"/>
      <c r="V14" s="15"/>
      <c r="W14" s="11"/>
      <c r="X14" s="15"/>
      <c r="Y14" s="11"/>
      <c r="Z14" s="10"/>
      <c r="AA14" s="11"/>
      <c r="AC14" s="11"/>
      <c r="AH14" s="10"/>
      <c r="AI14" s="65"/>
      <c r="AJ14" s="10"/>
      <c r="AK14" s="11">
        <v>46830</v>
      </c>
      <c r="AL14" s="10"/>
      <c r="AM14" s="11"/>
      <c r="AN14" s="10"/>
      <c r="AO14" s="11"/>
      <c r="AP14" s="10"/>
      <c r="AQ14" s="11"/>
      <c r="AR14" s="5"/>
      <c r="AS14" s="31">
        <f t="shared" si="0"/>
        <v>46830</v>
      </c>
      <c r="AT14" s="31">
        <f t="shared" si="1"/>
        <v>46830</v>
      </c>
      <c r="AU14" s="31">
        <f t="shared" si="2"/>
        <v>0</v>
      </c>
      <c r="AV14" s="7">
        <f t="shared" si="3"/>
        <v>46521.59</v>
      </c>
      <c r="AW14" s="7">
        <f t="shared" si="4"/>
        <v>211977.51</v>
      </c>
    </row>
    <row r="15" spans="1:49" ht="12.75">
      <c r="A15" s="96" t="s">
        <v>79</v>
      </c>
      <c r="B15" s="101">
        <v>41737</v>
      </c>
      <c r="C15" s="102">
        <v>11</v>
      </c>
      <c r="D15" s="7"/>
      <c r="E15" s="11"/>
      <c r="F15" s="15"/>
      <c r="G15" s="64"/>
      <c r="H15" s="15">
        <v>24</v>
      </c>
      <c r="I15" s="22"/>
      <c r="J15" s="15"/>
      <c r="L15" s="15"/>
      <c r="N15" s="15"/>
      <c r="P15" s="15"/>
      <c r="R15" s="94"/>
      <c r="T15" s="10"/>
      <c r="U15" s="11"/>
      <c r="V15" s="15"/>
      <c r="W15" s="11"/>
      <c r="X15" s="15"/>
      <c r="Y15" s="11"/>
      <c r="Z15" s="10"/>
      <c r="AA15" s="11"/>
      <c r="AC15" s="11"/>
      <c r="AH15" s="10"/>
      <c r="AI15" s="65"/>
      <c r="AJ15" s="10"/>
      <c r="AK15" s="11">
        <v>24</v>
      </c>
      <c r="AL15" s="10"/>
      <c r="AM15" s="65"/>
      <c r="AN15" s="10"/>
      <c r="AO15" s="11"/>
      <c r="AP15" s="10"/>
      <c r="AQ15" s="11"/>
      <c r="AR15" s="5"/>
      <c r="AS15" s="31">
        <f t="shared" si="0"/>
        <v>24</v>
      </c>
      <c r="AT15" s="31">
        <f t="shared" si="1"/>
        <v>24</v>
      </c>
      <c r="AU15" s="31">
        <f t="shared" si="2"/>
        <v>0</v>
      </c>
      <c r="AV15" s="7">
        <f t="shared" si="3"/>
        <v>46521.59</v>
      </c>
      <c r="AW15" s="7">
        <f t="shared" si="4"/>
        <v>212001.51</v>
      </c>
    </row>
    <row r="16" spans="1:49" ht="12.75">
      <c r="A16" s="96" t="s">
        <v>77</v>
      </c>
      <c r="B16" s="101">
        <v>41743</v>
      </c>
      <c r="C16" s="102">
        <v>12</v>
      </c>
      <c r="D16" s="7"/>
      <c r="E16" s="11"/>
      <c r="F16" s="15"/>
      <c r="G16" s="64"/>
      <c r="H16" s="15"/>
      <c r="I16" s="22">
        <v>1050</v>
      </c>
      <c r="J16" s="15"/>
      <c r="L16" s="15"/>
      <c r="N16" s="15"/>
      <c r="P16" s="15"/>
      <c r="R16" s="94"/>
      <c r="T16" s="10"/>
      <c r="U16" s="11"/>
      <c r="V16" s="15"/>
      <c r="W16" s="11"/>
      <c r="X16" s="15"/>
      <c r="Y16" s="11"/>
      <c r="Z16" s="10"/>
      <c r="AA16" s="11"/>
      <c r="AB16" s="15">
        <v>1050</v>
      </c>
      <c r="AC16" s="11"/>
      <c r="AH16" s="10"/>
      <c r="AI16" s="65"/>
      <c r="AJ16" s="10"/>
      <c r="AK16" s="11"/>
      <c r="AL16" s="10"/>
      <c r="AM16" s="65"/>
      <c r="AN16" s="10"/>
      <c r="AO16" s="11"/>
      <c r="AP16" s="10"/>
      <c r="AQ16" s="11"/>
      <c r="AR16" s="5"/>
      <c r="AS16" s="31">
        <f t="shared" si="0"/>
        <v>1050</v>
      </c>
      <c r="AT16" s="31">
        <f t="shared" si="1"/>
        <v>1050</v>
      </c>
      <c r="AU16" s="31">
        <f t="shared" si="2"/>
        <v>0</v>
      </c>
      <c r="AV16" s="7">
        <f t="shared" si="3"/>
        <v>46521.59</v>
      </c>
      <c r="AW16" s="7">
        <f t="shared" si="4"/>
        <v>210951.51</v>
      </c>
    </row>
    <row r="17" spans="1:49" ht="25.5">
      <c r="A17" s="120" t="s">
        <v>193</v>
      </c>
      <c r="B17" s="104">
        <v>41743</v>
      </c>
      <c r="C17" s="105">
        <v>13</v>
      </c>
      <c r="D17" s="82"/>
      <c r="E17" s="83"/>
      <c r="F17" s="84"/>
      <c r="G17" s="85"/>
      <c r="H17" s="84"/>
      <c r="I17" s="86">
        <f>299+75+29+650</f>
        <v>1053</v>
      </c>
      <c r="J17" s="84"/>
      <c r="K17" s="85"/>
      <c r="L17" s="84"/>
      <c r="M17" s="86"/>
      <c r="N17" s="84"/>
      <c r="O17" s="86"/>
      <c r="P17" s="84"/>
      <c r="Q17" s="86"/>
      <c r="R17" s="121"/>
      <c r="S17" s="86"/>
      <c r="T17" s="87"/>
      <c r="U17" s="83"/>
      <c r="V17" s="84"/>
      <c r="W17" s="83"/>
      <c r="X17" s="84">
        <f>650+29</f>
        <v>679</v>
      </c>
      <c r="Y17" s="83"/>
      <c r="Z17" s="87"/>
      <c r="AA17" s="83"/>
      <c r="AB17" s="84"/>
      <c r="AC17" s="83"/>
      <c r="AD17" s="84"/>
      <c r="AE17" s="86"/>
      <c r="AF17" s="84"/>
      <c r="AG17" s="86"/>
      <c r="AH17" s="87"/>
      <c r="AI17" s="88"/>
      <c r="AJ17" s="87"/>
      <c r="AK17" s="83"/>
      <c r="AL17" s="121">
        <f>299+75</f>
        <v>374</v>
      </c>
      <c r="AM17" s="88"/>
      <c r="AN17" s="87"/>
      <c r="AO17" s="83"/>
      <c r="AP17" s="87"/>
      <c r="AQ17" s="83"/>
      <c r="AR17" s="122"/>
      <c r="AS17" s="90">
        <f t="shared" si="0"/>
        <v>1053</v>
      </c>
      <c r="AT17" s="90">
        <f t="shared" si="1"/>
        <v>1053</v>
      </c>
      <c r="AU17" s="90">
        <f t="shared" si="2"/>
        <v>0</v>
      </c>
      <c r="AV17" s="82">
        <f t="shared" si="3"/>
        <v>46521.59</v>
      </c>
      <c r="AW17" s="82">
        <f t="shared" si="4"/>
        <v>209898.51</v>
      </c>
    </row>
    <row r="18" spans="1:49" ht="12.75">
      <c r="A18" s="96" t="s">
        <v>76</v>
      </c>
      <c r="B18" s="101">
        <v>41745</v>
      </c>
      <c r="C18" s="102">
        <v>14</v>
      </c>
      <c r="D18" s="7"/>
      <c r="E18" s="11"/>
      <c r="F18" s="15"/>
      <c r="G18" s="64"/>
      <c r="H18" s="15"/>
      <c r="I18" s="22">
        <v>2053</v>
      </c>
      <c r="J18" s="15"/>
      <c r="L18" s="15"/>
      <c r="N18" s="15"/>
      <c r="P18" s="15"/>
      <c r="R18" s="94"/>
      <c r="T18" s="10"/>
      <c r="U18" s="11"/>
      <c r="V18" s="15"/>
      <c r="W18" s="11"/>
      <c r="X18" s="15"/>
      <c r="Y18" s="11"/>
      <c r="Z18" s="10"/>
      <c r="AA18" s="11"/>
      <c r="AC18" s="11"/>
      <c r="AH18" s="10">
        <v>2053</v>
      </c>
      <c r="AI18" s="65"/>
      <c r="AJ18" s="10"/>
      <c r="AK18" s="11"/>
      <c r="AL18" s="10"/>
      <c r="AM18" s="65"/>
      <c r="AN18" s="10"/>
      <c r="AO18" s="11"/>
      <c r="AP18" s="10"/>
      <c r="AQ18" s="11"/>
      <c r="AR18" s="5"/>
      <c r="AS18" s="31">
        <f t="shared" si="0"/>
        <v>2053</v>
      </c>
      <c r="AT18" s="31">
        <f t="shared" si="1"/>
        <v>2053</v>
      </c>
      <c r="AU18" s="31">
        <f t="shared" si="2"/>
        <v>0</v>
      </c>
      <c r="AV18" s="7">
        <f t="shared" si="3"/>
        <v>46521.59</v>
      </c>
      <c r="AW18" s="7">
        <f t="shared" si="4"/>
        <v>207845.51</v>
      </c>
    </row>
    <row r="19" spans="1:49" ht="12.75">
      <c r="A19" s="96" t="s">
        <v>75</v>
      </c>
      <c r="B19" s="101">
        <v>41751</v>
      </c>
      <c r="C19" s="102">
        <v>15</v>
      </c>
      <c r="D19" s="7"/>
      <c r="E19" s="11"/>
      <c r="F19" s="15"/>
      <c r="G19" s="64"/>
      <c r="H19" s="15"/>
      <c r="I19" s="22">
        <v>2100</v>
      </c>
      <c r="J19" s="15"/>
      <c r="L19" s="15"/>
      <c r="N19" s="15"/>
      <c r="P19" s="15"/>
      <c r="R19" s="94"/>
      <c r="T19" s="10"/>
      <c r="U19" s="11"/>
      <c r="V19" s="15"/>
      <c r="W19" s="11"/>
      <c r="X19" s="15"/>
      <c r="Y19" s="11"/>
      <c r="Z19" s="10"/>
      <c r="AA19" s="11"/>
      <c r="AC19" s="11"/>
      <c r="AH19" s="10"/>
      <c r="AI19" s="65"/>
      <c r="AJ19" s="10">
        <v>2100</v>
      </c>
      <c r="AK19" s="11"/>
      <c r="AL19" s="10"/>
      <c r="AM19" s="65"/>
      <c r="AN19" s="10"/>
      <c r="AO19" s="11"/>
      <c r="AP19" s="10"/>
      <c r="AQ19" s="11"/>
      <c r="AR19" s="5"/>
      <c r="AS19" s="31">
        <f t="shared" si="0"/>
        <v>2100</v>
      </c>
      <c r="AT19" s="31">
        <f t="shared" si="1"/>
        <v>2100</v>
      </c>
      <c r="AU19" s="31">
        <f t="shared" si="2"/>
        <v>0</v>
      </c>
      <c r="AV19" s="7">
        <f t="shared" si="3"/>
        <v>46521.59</v>
      </c>
      <c r="AW19" s="7">
        <f t="shared" si="4"/>
        <v>205745.51</v>
      </c>
    </row>
    <row r="20" spans="1:49" ht="12.75">
      <c r="A20" s="96" t="s">
        <v>83</v>
      </c>
      <c r="B20" s="101">
        <v>41756</v>
      </c>
      <c r="C20" s="102">
        <v>16</v>
      </c>
      <c r="D20" s="7"/>
      <c r="E20" s="11"/>
      <c r="F20" s="15"/>
      <c r="G20" s="64"/>
      <c r="H20" s="15"/>
      <c r="I20" s="22">
        <v>2682.5</v>
      </c>
      <c r="J20" s="15"/>
      <c r="L20" s="15"/>
      <c r="N20" s="15"/>
      <c r="P20" s="15"/>
      <c r="R20" s="15"/>
      <c r="T20" s="10"/>
      <c r="U20" s="11"/>
      <c r="V20" s="15"/>
      <c r="W20" s="11"/>
      <c r="X20" s="15"/>
      <c r="Y20" s="11"/>
      <c r="Z20" s="10"/>
      <c r="AA20" s="11"/>
      <c r="AC20" s="11"/>
      <c r="AH20" s="10"/>
      <c r="AI20" s="65"/>
      <c r="AJ20" s="10">
        <v>2682.5</v>
      </c>
      <c r="AK20" s="11"/>
      <c r="AL20" s="10"/>
      <c r="AM20" s="65"/>
      <c r="AN20" s="10"/>
      <c r="AO20" s="11"/>
      <c r="AP20" s="10"/>
      <c r="AQ20" s="11"/>
      <c r="AR20" s="5"/>
      <c r="AS20" s="31">
        <f t="shared" si="0"/>
        <v>2682.5</v>
      </c>
      <c r="AT20" s="31">
        <f t="shared" si="1"/>
        <v>2682.5</v>
      </c>
      <c r="AU20" s="31">
        <f t="shared" si="2"/>
        <v>0</v>
      </c>
      <c r="AV20" s="7">
        <f t="shared" si="3"/>
        <v>46521.59</v>
      </c>
      <c r="AW20" s="7">
        <f t="shared" si="4"/>
        <v>203063.01</v>
      </c>
    </row>
    <row r="21" spans="1:49" s="91" customFormat="1" ht="25.5">
      <c r="A21" s="103" t="s">
        <v>85</v>
      </c>
      <c r="B21" s="104">
        <v>41756</v>
      </c>
      <c r="C21" s="105">
        <v>17</v>
      </c>
      <c r="D21" s="82"/>
      <c r="E21" s="83"/>
      <c r="F21" s="84"/>
      <c r="G21" s="85"/>
      <c r="H21" s="84"/>
      <c r="I21" s="86"/>
      <c r="J21" s="84"/>
      <c r="K21" s="85"/>
      <c r="L21" s="84"/>
      <c r="M21" s="86"/>
      <c r="N21" s="84"/>
      <c r="O21" s="86"/>
      <c r="P21" s="84"/>
      <c r="Q21" s="86"/>
      <c r="R21" s="84"/>
      <c r="S21" s="86"/>
      <c r="T21" s="87"/>
      <c r="U21" s="83"/>
      <c r="V21" s="84"/>
      <c r="W21" s="83"/>
      <c r="X21" s="84"/>
      <c r="Y21" s="83"/>
      <c r="Z21" s="87"/>
      <c r="AA21" s="83"/>
      <c r="AB21" s="84"/>
      <c r="AC21" s="83"/>
      <c r="AD21" s="84"/>
      <c r="AE21" s="86"/>
      <c r="AF21" s="84"/>
      <c r="AG21" s="86"/>
      <c r="AH21" s="87"/>
      <c r="AI21" s="88"/>
      <c r="AJ21" s="87">
        <v>1000</v>
      </c>
      <c r="AK21" s="83">
        <f>22*50+10</f>
        <v>1110</v>
      </c>
      <c r="AL21" s="87"/>
      <c r="AM21" s="88"/>
      <c r="AN21" s="87">
        <v>110</v>
      </c>
      <c r="AO21" s="83"/>
      <c r="AP21" s="87"/>
      <c r="AQ21" s="83"/>
      <c r="AR21" s="89" t="s">
        <v>104</v>
      </c>
      <c r="AS21" s="90">
        <f t="shared" si="0"/>
        <v>1110</v>
      </c>
      <c r="AT21" s="90">
        <f t="shared" si="1"/>
        <v>1110</v>
      </c>
      <c r="AU21" s="90">
        <f t="shared" si="2"/>
        <v>0</v>
      </c>
      <c r="AV21" s="7">
        <f t="shared" si="3"/>
        <v>46521.59</v>
      </c>
      <c r="AW21" s="7">
        <f t="shared" si="4"/>
        <v>203063.01</v>
      </c>
    </row>
    <row r="22" spans="1:49" ht="12.75">
      <c r="A22" s="96" t="s">
        <v>59</v>
      </c>
      <c r="B22" s="101">
        <v>41759</v>
      </c>
      <c r="C22" s="102">
        <v>18</v>
      </c>
      <c r="D22" s="7"/>
      <c r="E22" s="11"/>
      <c r="F22" s="15"/>
      <c r="G22" s="64"/>
      <c r="H22" s="15"/>
      <c r="I22" s="22">
        <v>12</v>
      </c>
      <c r="J22" s="15"/>
      <c r="L22" s="15"/>
      <c r="N22" s="15"/>
      <c r="P22" s="15"/>
      <c r="R22" s="15"/>
      <c r="T22" s="10"/>
      <c r="U22" s="11"/>
      <c r="V22" s="15"/>
      <c r="W22" s="11"/>
      <c r="X22" s="15">
        <v>12</v>
      </c>
      <c r="Y22" s="11"/>
      <c r="Z22" s="10"/>
      <c r="AA22" s="11"/>
      <c r="AC22" s="11"/>
      <c r="AH22" s="10"/>
      <c r="AI22" s="65"/>
      <c r="AJ22" s="10"/>
      <c r="AK22" s="11"/>
      <c r="AL22" s="10"/>
      <c r="AM22" s="65"/>
      <c r="AN22" s="10"/>
      <c r="AO22" s="11"/>
      <c r="AP22" s="10"/>
      <c r="AQ22" s="11"/>
      <c r="AR22" s="5"/>
      <c r="AS22" s="31">
        <f>D22+F22+H22+J22+L22+N22+P22+R22+T22+V22+X22+Z22+AB22+AD22+AF22+AH22+AJ22+AL22+AN22+AP22</f>
        <v>12</v>
      </c>
      <c r="AT22" s="31">
        <f>E22+G22+I22+K22+M22+O22+Q22+S22+U22+W22+Y22+AA22+AC22+AE22+AG22+AI22+AK22+AM22+AO22+AQ22</f>
        <v>12</v>
      </c>
      <c r="AU22" s="31">
        <f>AS22-AT22</f>
        <v>0</v>
      </c>
      <c r="AV22" s="7">
        <f t="shared" si="3"/>
        <v>46521.59</v>
      </c>
      <c r="AW22" s="71">
        <f t="shared" si="4"/>
        <v>203051.01</v>
      </c>
    </row>
    <row r="23" spans="1:49" ht="12.75">
      <c r="A23" s="96" t="s">
        <v>82</v>
      </c>
      <c r="B23" s="101">
        <v>41763</v>
      </c>
      <c r="C23" s="102">
        <v>19</v>
      </c>
      <c r="D23" s="7"/>
      <c r="E23" s="11"/>
      <c r="F23" s="15"/>
      <c r="G23" s="64"/>
      <c r="H23" s="15"/>
      <c r="I23" s="22">
        <v>500</v>
      </c>
      <c r="J23" s="15"/>
      <c r="L23" s="15"/>
      <c r="N23" s="15"/>
      <c r="P23" s="15"/>
      <c r="R23" s="15"/>
      <c r="T23" s="10"/>
      <c r="U23" s="11"/>
      <c r="V23" s="15"/>
      <c r="W23" s="11"/>
      <c r="X23" s="15">
        <v>500</v>
      </c>
      <c r="Y23" s="11"/>
      <c r="Z23" s="10"/>
      <c r="AA23" s="11"/>
      <c r="AC23" s="11"/>
      <c r="AH23" s="10"/>
      <c r="AI23" s="65"/>
      <c r="AJ23" s="10"/>
      <c r="AK23" s="11"/>
      <c r="AL23" s="10"/>
      <c r="AM23" s="65"/>
      <c r="AN23" s="10"/>
      <c r="AO23" s="11"/>
      <c r="AP23" s="10"/>
      <c r="AQ23" s="11"/>
      <c r="AR23" s="5"/>
      <c r="AS23" s="31">
        <f t="shared" si="0"/>
        <v>500</v>
      </c>
      <c r="AT23" s="31">
        <f t="shared" si="1"/>
        <v>500</v>
      </c>
      <c r="AU23" s="31">
        <f t="shared" si="2"/>
        <v>0</v>
      </c>
      <c r="AV23" s="7">
        <f t="shared" si="3"/>
        <v>46521.59</v>
      </c>
      <c r="AW23" s="7">
        <f t="shared" si="4"/>
        <v>202551.01</v>
      </c>
    </row>
    <row r="24" spans="1:49" ht="12.75">
      <c r="A24" s="95" t="s">
        <v>86</v>
      </c>
      <c r="B24" s="101">
        <v>41778</v>
      </c>
      <c r="C24" s="102">
        <v>20</v>
      </c>
      <c r="D24" s="7"/>
      <c r="E24" s="11"/>
      <c r="F24" s="15"/>
      <c r="G24" s="64"/>
      <c r="H24" s="15">
        <v>150</v>
      </c>
      <c r="I24" s="22"/>
      <c r="J24" s="15"/>
      <c r="L24" s="15"/>
      <c r="N24" s="15"/>
      <c r="P24" s="15"/>
      <c r="R24" s="15"/>
      <c r="S24" s="22">
        <v>150</v>
      </c>
      <c r="T24" s="10"/>
      <c r="U24" s="11"/>
      <c r="V24" s="15"/>
      <c r="W24" s="11"/>
      <c r="X24" s="15"/>
      <c r="Y24" s="11"/>
      <c r="Z24" s="10"/>
      <c r="AA24" s="11"/>
      <c r="AC24" s="11"/>
      <c r="AH24" s="10"/>
      <c r="AI24" s="65"/>
      <c r="AJ24" s="10"/>
      <c r="AK24" s="11"/>
      <c r="AL24" s="10"/>
      <c r="AM24" s="65"/>
      <c r="AN24" s="10"/>
      <c r="AO24" s="11"/>
      <c r="AP24" s="10"/>
      <c r="AQ24" s="11"/>
      <c r="AR24" s="5"/>
      <c r="AS24" s="31">
        <f t="shared" si="0"/>
        <v>150</v>
      </c>
      <c r="AT24" s="31">
        <f t="shared" si="1"/>
        <v>150</v>
      </c>
      <c r="AU24" s="31">
        <f t="shared" si="2"/>
        <v>0</v>
      </c>
      <c r="AV24" s="7">
        <f t="shared" si="3"/>
        <v>46521.59</v>
      </c>
      <c r="AW24" s="7">
        <f t="shared" si="4"/>
        <v>202701.01</v>
      </c>
    </row>
    <row r="25" spans="1:49" ht="12.75">
      <c r="A25" s="95" t="s">
        <v>87</v>
      </c>
      <c r="B25" s="101">
        <v>41778</v>
      </c>
      <c r="C25" s="102">
        <v>20</v>
      </c>
      <c r="D25" s="7"/>
      <c r="E25" s="11"/>
      <c r="F25" s="15"/>
      <c r="G25" s="64"/>
      <c r="H25" s="15">
        <v>150</v>
      </c>
      <c r="I25" s="22"/>
      <c r="J25" s="15"/>
      <c r="L25" s="15"/>
      <c r="N25" s="15"/>
      <c r="P25" s="15"/>
      <c r="R25" s="15"/>
      <c r="S25" s="22">
        <v>150</v>
      </c>
      <c r="T25" s="10"/>
      <c r="U25" s="11"/>
      <c r="V25" s="15"/>
      <c r="W25" s="11"/>
      <c r="X25" s="15"/>
      <c r="Y25" s="11"/>
      <c r="Z25" s="10"/>
      <c r="AA25" s="11"/>
      <c r="AC25" s="11"/>
      <c r="AH25" s="10"/>
      <c r="AI25" s="65"/>
      <c r="AJ25" s="10"/>
      <c r="AK25" s="11"/>
      <c r="AL25" s="10"/>
      <c r="AM25" s="65"/>
      <c r="AN25" s="10"/>
      <c r="AO25" s="11"/>
      <c r="AP25" s="10"/>
      <c r="AQ25" s="11"/>
      <c r="AR25" s="5"/>
      <c r="AS25" s="31">
        <f t="shared" si="0"/>
        <v>150</v>
      </c>
      <c r="AT25" s="31">
        <f t="shared" si="1"/>
        <v>150</v>
      </c>
      <c r="AU25" s="31">
        <f t="shared" si="2"/>
        <v>0</v>
      </c>
      <c r="AV25" s="7">
        <f t="shared" si="3"/>
        <v>46521.59</v>
      </c>
      <c r="AW25" s="7">
        <f t="shared" si="4"/>
        <v>202851.01</v>
      </c>
    </row>
    <row r="26" spans="1:49" ht="12.75">
      <c r="A26" s="95" t="s">
        <v>88</v>
      </c>
      <c r="B26" s="101">
        <v>41778</v>
      </c>
      <c r="C26" s="102">
        <v>20</v>
      </c>
      <c r="D26" s="7"/>
      <c r="E26" s="11"/>
      <c r="F26" s="15"/>
      <c r="G26" s="64"/>
      <c r="H26" s="15">
        <v>150</v>
      </c>
      <c r="I26" s="22"/>
      <c r="J26" s="15"/>
      <c r="L26" s="15"/>
      <c r="N26" s="15"/>
      <c r="P26" s="15"/>
      <c r="R26" s="15"/>
      <c r="S26" s="22">
        <v>150</v>
      </c>
      <c r="T26" s="10"/>
      <c r="U26" s="11"/>
      <c r="V26" s="15"/>
      <c r="W26" s="11"/>
      <c r="X26" s="15"/>
      <c r="Y26" s="11"/>
      <c r="Z26" s="10"/>
      <c r="AA26" s="11"/>
      <c r="AC26" s="11"/>
      <c r="AH26" s="10"/>
      <c r="AI26" s="65"/>
      <c r="AJ26" s="10"/>
      <c r="AK26" s="11"/>
      <c r="AL26" s="10"/>
      <c r="AM26" s="65"/>
      <c r="AN26" s="10"/>
      <c r="AO26" s="11"/>
      <c r="AP26" s="10"/>
      <c r="AQ26" s="11"/>
      <c r="AR26" s="5"/>
      <c r="AS26" s="31">
        <f t="shared" si="0"/>
        <v>150</v>
      </c>
      <c r="AT26" s="31">
        <f t="shared" si="1"/>
        <v>150</v>
      </c>
      <c r="AU26" s="31">
        <f t="shared" si="2"/>
        <v>0</v>
      </c>
      <c r="AV26" s="7">
        <f t="shared" si="3"/>
        <v>46521.59</v>
      </c>
      <c r="AW26" s="7">
        <f t="shared" si="4"/>
        <v>203001.01</v>
      </c>
    </row>
    <row r="27" spans="1:49" ht="12.75">
      <c r="A27" s="95" t="s">
        <v>89</v>
      </c>
      <c r="B27" s="101">
        <v>41778</v>
      </c>
      <c r="C27" s="102">
        <v>20</v>
      </c>
      <c r="D27" s="7"/>
      <c r="E27" s="11"/>
      <c r="F27" s="15"/>
      <c r="G27" s="64"/>
      <c r="H27" s="15">
        <v>150</v>
      </c>
      <c r="I27" s="22"/>
      <c r="J27" s="15"/>
      <c r="L27" s="15"/>
      <c r="N27" s="15"/>
      <c r="P27" s="15"/>
      <c r="R27" s="15"/>
      <c r="S27" s="22">
        <v>150</v>
      </c>
      <c r="T27" s="10"/>
      <c r="U27" s="11"/>
      <c r="V27" s="15"/>
      <c r="W27" s="11"/>
      <c r="X27" s="15"/>
      <c r="Y27" s="11"/>
      <c r="Z27" s="10"/>
      <c r="AA27" s="11"/>
      <c r="AC27" s="11"/>
      <c r="AH27" s="10"/>
      <c r="AI27" s="65"/>
      <c r="AJ27" s="10"/>
      <c r="AK27" s="11"/>
      <c r="AL27" s="10"/>
      <c r="AM27" s="65"/>
      <c r="AN27" s="10"/>
      <c r="AO27" s="11"/>
      <c r="AP27" s="10"/>
      <c r="AQ27" s="11"/>
      <c r="AR27" s="5"/>
      <c r="AS27" s="31">
        <f t="shared" si="0"/>
        <v>150</v>
      </c>
      <c r="AT27" s="31">
        <f t="shared" si="1"/>
        <v>150</v>
      </c>
      <c r="AU27" s="31">
        <f t="shared" si="2"/>
        <v>0</v>
      </c>
      <c r="AV27" s="7">
        <f t="shared" si="3"/>
        <v>46521.59</v>
      </c>
      <c r="AW27" s="7">
        <f t="shared" si="4"/>
        <v>203151.01</v>
      </c>
    </row>
    <row r="28" spans="1:49" ht="12.75">
      <c r="A28" s="95" t="s">
        <v>90</v>
      </c>
      <c r="B28" s="101">
        <v>41779</v>
      </c>
      <c r="C28" s="102">
        <v>21</v>
      </c>
      <c r="D28" s="7"/>
      <c r="E28" s="11"/>
      <c r="F28" s="15"/>
      <c r="G28" s="64"/>
      <c r="H28" s="15">
        <v>150</v>
      </c>
      <c r="I28" s="22"/>
      <c r="J28" s="15"/>
      <c r="L28" s="15"/>
      <c r="N28" s="15"/>
      <c r="P28" s="15"/>
      <c r="R28" s="15"/>
      <c r="S28" s="22">
        <v>150</v>
      </c>
      <c r="T28" s="10"/>
      <c r="U28" s="11"/>
      <c r="V28" s="15"/>
      <c r="W28" s="11"/>
      <c r="X28" s="15"/>
      <c r="Y28" s="11"/>
      <c r="Z28" s="10"/>
      <c r="AA28" s="11"/>
      <c r="AC28" s="11"/>
      <c r="AH28" s="10"/>
      <c r="AI28" s="65"/>
      <c r="AJ28" s="10"/>
      <c r="AK28" s="11"/>
      <c r="AL28" s="10"/>
      <c r="AM28" s="65"/>
      <c r="AN28" s="10"/>
      <c r="AO28" s="11"/>
      <c r="AP28" s="10"/>
      <c r="AQ28" s="11"/>
      <c r="AR28" s="5"/>
      <c r="AS28" s="31">
        <f t="shared" si="0"/>
        <v>150</v>
      </c>
      <c r="AT28" s="31">
        <f t="shared" si="1"/>
        <v>150</v>
      </c>
      <c r="AU28" s="31">
        <f t="shared" si="2"/>
        <v>0</v>
      </c>
      <c r="AV28" s="7">
        <f t="shared" si="3"/>
        <v>46521.59</v>
      </c>
      <c r="AW28" s="7">
        <f t="shared" si="4"/>
        <v>203301.01</v>
      </c>
    </row>
    <row r="29" spans="1:49" ht="12.75">
      <c r="A29" s="95" t="s">
        <v>91</v>
      </c>
      <c r="B29" s="101">
        <v>41779</v>
      </c>
      <c r="C29" s="102">
        <v>21</v>
      </c>
      <c r="D29" s="7"/>
      <c r="E29" s="11"/>
      <c r="F29" s="15"/>
      <c r="G29" s="64"/>
      <c r="H29" s="15">
        <v>150</v>
      </c>
      <c r="I29" s="22"/>
      <c r="J29" s="15"/>
      <c r="L29" s="15"/>
      <c r="N29" s="15"/>
      <c r="P29" s="15"/>
      <c r="R29" s="15"/>
      <c r="S29" s="22">
        <v>150</v>
      </c>
      <c r="T29" s="10"/>
      <c r="U29" s="11"/>
      <c r="V29" s="15"/>
      <c r="W29" s="11"/>
      <c r="X29" s="15"/>
      <c r="Y29" s="11"/>
      <c r="Z29" s="10"/>
      <c r="AA29" s="11"/>
      <c r="AC29" s="11"/>
      <c r="AH29" s="10"/>
      <c r="AI29" s="65"/>
      <c r="AJ29" s="10"/>
      <c r="AK29" s="11"/>
      <c r="AL29" s="10"/>
      <c r="AM29" s="65"/>
      <c r="AN29" s="10"/>
      <c r="AO29" s="11"/>
      <c r="AP29" s="10"/>
      <c r="AQ29" s="11"/>
      <c r="AR29" s="5"/>
      <c r="AS29" s="31">
        <f t="shared" si="0"/>
        <v>150</v>
      </c>
      <c r="AT29" s="31">
        <f t="shared" si="1"/>
        <v>150</v>
      </c>
      <c r="AU29" s="31">
        <f t="shared" si="2"/>
        <v>0</v>
      </c>
      <c r="AV29" s="7">
        <f t="shared" si="3"/>
        <v>46521.59</v>
      </c>
      <c r="AW29" s="7">
        <f t="shared" si="4"/>
        <v>203451.01</v>
      </c>
    </row>
    <row r="30" spans="1:49" ht="12.75">
      <c r="A30" s="95" t="s">
        <v>92</v>
      </c>
      <c r="B30" s="101">
        <v>41779</v>
      </c>
      <c r="C30" s="102">
        <v>21</v>
      </c>
      <c r="D30" s="7"/>
      <c r="E30" s="11"/>
      <c r="F30" s="15"/>
      <c r="G30" s="64"/>
      <c r="H30" s="15">
        <v>150</v>
      </c>
      <c r="I30" s="22"/>
      <c r="J30" s="15"/>
      <c r="L30" s="15"/>
      <c r="N30" s="15"/>
      <c r="P30" s="15"/>
      <c r="R30" s="15"/>
      <c r="S30" s="22">
        <v>150</v>
      </c>
      <c r="T30" s="10"/>
      <c r="U30" s="11"/>
      <c r="V30" s="15"/>
      <c r="W30" s="11"/>
      <c r="X30" s="15"/>
      <c r="Y30" s="11"/>
      <c r="Z30" s="10"/>
      <c r="AA30" s="11"/>
      <c r="AC30" s="11"/>
      <c r="AH30" s="10"/>
      <c r="AI30" s="65"/>
      <c r="AJ30" s="10"/>
      <c r="AK30" s="11"/>
      <c r="AL30" s="10"/>
      <c r="AM30" s="65"/>
      <c r="AN30" s="10"/>
      <c r="AO30" s="11"/>
      <c r="AP30" s="10"/>
      <c r="AQ30" s="11"/>
      <c r="AR30" s="5"/>
      <c r="AS30" s="31">
        <f t="shared" si="0"/>
        <v>150</v>
      </c>
      <c r="AT30" s="31">
        <f t="shared" si="1"/>
        <v>150</v>
      </c>
      <c r="AU30" s="31">
        <f t="shared" si="2"/>
        <v>0</v>
      </c>
      <c r="AV30" s="7">
        <f t="shared" si="3"/>
        <v>46521.59</v>
      </c>
      <c r="AW30" s="7">
        <f t="shared" si="4"/>
        <v>203601.01</v>
      </c>
    </row>
    <row r="31" spans="1:49" ht="12.75">
      <c r="A31" s="95" t="s">
        <v>93</v>
      </c>
      <c r="B31" s="101">
        <v>41780</v>
      </c>
      <c r="C31" s="102">
        <v>22</v>
      </c>
      <c r="D31" s="7"/>
      <c r="E31" s="11"/>
      <c r="F31" s="15"/>
      <c r="G31" s="64"/>
      <c r="H31" s="15">
        <v>150</v>
      </c>
      <c r="I31" s="22"/>
      <c r="J31" s="15"/>
      <c r="L31" s="15"/>
      <c r="N31" s="15"/>
      <c r="P31" s="15"/>
      <c r="R31" s="15"/>
      <c r="S31" s="22">
        <v>150</v>
      </c>
      <c r="T31" s="10"/>
      <c r="U31" s="11"/>
      <c r="V31" s="15"/>
      <c r="W31" s="11"/>
      <c r="X31" s="15"/>
      <c r="Y31" s="11"/>
      <c r="Z31" s="10"/>
      <c r="AA31" s="11"/>
      <c r="AC31" s="11"/>
      <c r="AH31" s="10"/>
      <c r="AI31" s="65"/>
      <c r="AJ31" s="10"/>
      <c r="AK31" s="11"/>
      <c r="AL31" s="10"/>
      <c r="AM31" s="65"/>
      <c r="AN31" s="10"/>
      <c r="AO31" s="11"/>
      <c r="AP31" s="10"/>
      <c r="AQ31" s="11"/>
      <c r="AR31" s="5"/>
      <c r="AS31" s="31">
        <f t="shared" si="0"/>
        <v>150</v>
      </c>
      <c r="AT31" s="31">
        <f t="shared" si="1"/>
        <v>150</v>
      </c>
      <c r="AU31" s="31">
        <f t="shared" si="2"/>
        <v>0</v>
      </c>
      <c r="AV31" s="7">
        <f t="shared" si="3"/>
        <v>46521.59</v>
      </c>
      <c r="AW31" s="7">
        <f t="shared" si="4"/>
        <v>203751.01</v>
      </c>
    </row>
    <row r="32" spans="1:49" ht="12.75">
      <c r="A32" s="95" t="s">
        <v>94</v>
      </c>
      <c r="B32" s="101">
        <v>41780</v>
      </c>
      <c r="C32" s="102">
        <v>22</v>
      </c>
      <c r="D32" s="7"/>
      <c r="E32" s="11"/>
      <c r="F32" s="15"/>
      <c r="G32" s="64"/>
      <c r="H32" s="15">
        <v>150</v>
      </c>
      <c r="I32" s="22"/>
      <c r="J32" s="15"/>
      <c r="L32" s="15"/>
      <c r="N32" s="15"/>
      <c r="P32" s="15"/>
      <c r="R32" s="15"/>
      <c r="S32" s="22">
        <v>150</v>
      </c>
      <c r="T32" s="10"/>
      <c r="U32" s="11"/>
      <c r="V32" s="15"/>
      <c r="W32" s="11"/>
      <c r="X32" s="15"/>
      <c r="Y32" s="11"/>
      <c r="Z32" s="10"/>
      <c r="AA32" s="11"/>
      <c r="AC32" s="11"/>
      <c r="AH32" s="10"/>
      <c r="AI32" s="65"/>
      <c r="AJ32" s="10"/>
      <c r="AK32" s="11"/>
      <c r="AL32" s="10"/>
      <c r="AM32" s="65"/>
      <c r="AN32" s="10"/>
      <c r="AO32" s="11"/>
      <c r="AP32" s="10"/>
      <c r="AQ32" s="11"/>
      <c r="AR32" s="5"/>
      <c r="AS32" s="31">
        <f t="shared" si="0"/>
        <v>150</v>
      </c>
      <c r="AT32" s="31">
        <f t="shared" si="1"/>
        <v>150</v>
      </c>
      <c r="AU32" s="31">
        <f t="shared" si="2"/>
        <v>0</v>
      </c>
      <c r="AV32" s="7">
        <f t="shared" si="3"/>
        <v>46521.59</v>
      </c>
      <c r="AW32" s="7">
        <f t="shared" si="4"/>
        <v>203901.01</v>
      </c>
    </row>
    <row r="33" spans="1:49" ht="12.75">
      <c r="A33" s="95" t="s">
        <v>95</v>
      </c>
      <c r="B33" s="101">
        <v>41780</v>
      </c>
      <c r="C33" s="102">
        <v>22</v>
      </c>
      <c r="D33" s="7"/>
      <c r="E33" s="11"/>
      <c r="F33" s="15"/>
      <c r="G33" s="64"/>
      <c r="H33" s="15">
        <v>150</v>
      </c>
      <c r="I33" s="22"/>
      <c r="J33" s="15"/>
      <c r="L33" s="15"/>
      <c r="N33" s="15"/>
      <c r="P33" s="15"/>
      <c r="R33" s="15"/>
      <c r="S33" s="22">
        <v>150</v>
      </c>
      <c r="T33" s="10"/>
      <c r="U33" s="11"/>
      <c r="V33" s="15"/>
      <c r="W33" s="11"/>
      <c r="X33" s="15"/>
      <c r="Y33" s="11"/>
      <c r="Z33" s="10"/>
      <c r="AA33" s="11"/>
      <c r="AC33" s="11"/>
      <c r="AH33" s="10"/>
      <c r="AI33" s="65"/>
      <c r="AJ33" s="10"/>
      <c r="AK33" s="11"/>
      <c r="AL33" s="10"/>
      <c r="AM33" s="65"/>
      <c r="AN33" s="10"/>
      <c r="AO33" s="11"/>
      <c r="AP33" s="10"/>
      <c r="AQ33" s="11"/>
      <c r="AR33" s="5"/>
      <c r="AS33" s="31">
        <f t="shared" si="0"/>
        <v>150</v>
      </c>
      <c r="AT33" s="31">
        <f t="shared" si="1"/>
        <v>150</v>
      </c>
      <c r="AU33" s="31">
        <f t="shared" si="2"/>
        <v>0</v>
      </c>
      <c r="AV33" s="7">
        <f t="shared" si="3"/>
        <v>46521.59</v>
      </c>
      <c r="AW33" s="7">
        <f t="shared" si="4"/>
        <v>204051.01</v>
      </c>
    </row>
    <row r="34" spans="1:49" ht="12.75">
      <c r="A34" s="95" t="s">
        <v>124</v>
      </c>
      <c r="B34" s="101">
        <v>41780</v>
      </c>
      <c r="C34" s="102">
        <v>23</v>
      </c>
      <c r="D34" s="7"/>
      <c r="E34" s="11"/>
      <c r="F34" s="15"/>
      <c r="G34" s="64"/>
      <c r="H34" s="15">
        <v>150</v>
      </c>
      <c r="I34" s="22"/>
      <c r="J34" s="15"/>
      <c r="L34" s="15"/>
      <c r="N34" s="15"/>
      <c r="P34" s="15"/>
      <c r="R34" s="15"/>
      <c r="S34" s="22">
        <v>150</v>
      </c>
      <c r="T34" s="10"/>
      <c r="U34" s="11"/>
      <c r="V34" s="15"/>
      <c r="W34" s="11"/>
      <c r="X34" s="15"/>
      <c r="Y34" s="11"/>
      <c r="Z34" s="10"/>
      <c r="AA34" s="11"/>
      <c r="AC34" s="11"/>
      <c r="AH34" s="10"/>
      <c r="AI34" s="65"/>
      <c r="AJ34" s="10"/>
      <c r="AK34" s="11"/>
      <c r="AL34" s="10"/>
      <c r="AM34" s="65"/>
      <c r="AN34" s="10"/>
      <c r="AO34" s="11"/>
      <c r="AP34" s="10"/>
      <c r="AQ34" s="11"/>
      <c r="AR34" s="5"/>
      <c r="AS34" s="31">
        <f>D34+F34+H34+J34+L34+N34+P34+R34+T34+V34+X34+Z34+AB34+AD34+AF34+AH34+AJ34+AL34+AN34+AP34</f>
        <v>150</v>
      </c>
      <c r="AT34" s="31">
        <f>E34+G34+I34+K34+M34+O34+Q34+S34+U34+W34+Y34+AA34+AC34+AE34+AG34+AI34+AK34+AM34+AO34+AQ34</f>
        <v>150</v>
      </c>
      <c r="AU34" s="31">
        <f>AS34-AT34</f>
        <v>0</v>
      </c>
      <c r="AV34" s="7">
        <f t="shared" si="3"/>
        <v>46521.59</v>
      </c>
      <c r="AW34" s="7">
        <f t="shared" si="4"/>
        <v>204201.01</v>
      </c>
    </row>
    <row r="35" spans="1:49" ht="12.75">
      <c r="A35" s="95" t="s">
        <v>96</v>
      </c>
      <c r="B35" s="101">
        <v>41781</v>
      </c>
      <c r="C35" s="102">
        <v>24</v>
      </c>
      <c r="D35" s="7"/>
      <c r="E35" s="11"/>
      <c r="F35" s="15"/>
      <c r="G35" s="64"/>
      <c r="H35" s="15">
        <v>150</v>
      </c>
      <c r="I35" s="22"/>
      <c r="J35" s="15"/>
      <c r="L35" s="15"/>
      <c r="N35" s="15"/>
      <c r="P35" s="15"/>
      <c r="R35" s="15"/>
      <c r="S35" s="22">
        <v>150</v>
      </c>
      <c r="T35" s="10"/>
      <c r="U35" s="11"/>
      <c r="V35" s="15"/>
      <c r="W35" s="11"/>
      <c r="X35" s="15"/>
      <c r="Y35" s="11"/>
      <c r="Z35" s="10"/>
      <c r="AA35" s="11"/>
      <c r="AC35" s="11"/>
      <c r="AH35" s="10"/>
      <c r="AI35" s="65"/>
      <c r="AJ35" s="10"/>
      <c r="AK35" s="11"/>
      <c r="AL35" s="10"/>
      <c r="AM35" s="65"/>
      <c r="AN35" s="10"/>
      <c r="AO35" s="11"/>
      <c r="AP35" s="10"/>
      <c r="AQ35" s="11"/>
      <c r="AR35" s="5"/>
      <c r="AS35" s="31">
        <f t="shared" si="0"/>
        <v>150</v>
      </c>
      <c r="AT35" s="31">
        <f t="shared" si="1"/>
        <v>150</v>
      </c>
      <c r="AU35" s="31">
        <f t="shared" si="2"/>
        <v>0</v>
      </c>
      <c r="AV35" s="7">
        <f t="shared" si="3"/>
        <v>46521.59</v>
      </c>
      <c r="AW35" s="7">
        <f t="shared" si="4"/>
        <v>204351.01</v>
      </c>
    </row>
    <row r="36" spans="1:49" ht="12.75">
      <c r="A36" s="95" t="s">
        <v>97</v>
      </c>
      <c r="B36" s="101">
        <v>41782</v>
      </c>
      <c r="C36" s="102">
        <v>25</v>
      </c>
      <c r="D36" s="7"/>
      <c r="E36" s="11"/>
      <c r="F36" s="15"/>
      <c r="G36" s="64"/>
      <c r="H36" s="15">
        <v>150</v>
      </c>
      <c r="I36" s="22"/>
      <c r="J36" s="15"/>
      <c r="L36" s="15"/>
      <c r="N36" s="15"/>
      <c r="P36" s="15"/>
      <c r="R36" s="15"/>
      <c r="S36" s="22">
        <v>150</v>
      </c>
      <c r="T36" s="10"/>
      <c r="U36" s="11"/>
      <c r="V36" s="15"/>
      <c r="W36" s="11"/>
      <c r="X36" s="15"/>
      <c r="Y36" s="11"/>
      <c r="Z36" s="10"/>
      <c r="AA36" s="11"/>
      <c r="AC36" s="11"/>
      <c r="AH36" s="10"/>
      <c r="AI36" s="65"/>
      <c r="AJ36" s="10"/>
      <c r="AK36" s="11"/>
      <c r="AL36" s="10"/>
      <c r="AM36" s="65"/>
      <c r="AN36" s="10"/>
      <c r="AO36" s="11"/>
      <c r="AP36" s="10"/>
      <c r="AQ36" s="11"/>
      <c r="AR36" s="5"/>
      <c r="AS36" s="31">
        <f t="shared" si="0"/>
        <v>150</v>
      </c>
      <c r="AT36" s="31">
        <f t="shared" si="1"/>
        <v>150</v>
      </c>
      <c r="AU36" s="31">
        <f t="shared" si="2"/>
        <v>0</v>
      </c>
      <c r="AV36" s="7">
        <f t="shared" si="3"/>
        <v>46521.59</v>
      </c>
      <c r="AW36" s="7">
        <f t="shared" si="4"/>
        <v>204501.01</v>
      </c>
    </row>
    <row r="37" spans="1:49" ht="12.75">
      <c r="A37" s="95" t="s">
        <v>105</v>
      </c>
      <c r="B37" s="101">
        <v>41785</v>
      </c>
      <c r="C37" s="102">
        <v>26</v>
      </c>
      <c r="D37" s="7"/>
      <c r="E37" s="11"/>
      <c r="F37" s="15"/>
      <c r="G37" s="64"/>
      <c r="H37" s="15">
        <v>150</v>
      </c>
      <c r="I37" s="22"/>
      <c r="J37" s="15"/>
      <c r="L37" s="15"/>
      <c r="N37" s="15"/>
      <c r="P37" s="15"/>
      <c r="R37" s="15"/>
      <c r="S37" s="22">
        <v>150</v>
      </c>
      <c r="T37" s="10"/>
      <c r="U37" s="11"/>
      <c r="V37" s="15"/>
      <c r="W37" s="11"/>
      <c r="X37" s="15"/>
      <c r="Y37" s="11"/>
      <c r="Z37" s="10"/>
      <c r="AA37" s="11"/>
      <c r="AC37" s="11"/>
      <c r="AH37" s="10"/>
      <c r="AI37" s="65"/>
      <c r="AJ37" s="10"/>
      <c r="AK37" s="11"/>
      <c r="AL37" s="10"/>
      <c r="AM37" s="65"/>
      <c r="AN37" s="10"/>
      <c r="AO37" s="11"/>
      <c r="AP37" s="10"/>
      <c r="AQ37" s="11"/>
      <c r="AR37" s="5"/>
      <c r="AS37" s="31">
        <f t="shared" si="0"/>
        <v>150</v>
      </c>
      <c r="AT37" s="31">
        <f t="shared" si="1"/>
        <v>150</v>
      </c>
      <c r="AU37" s="31">
        <f t="shared" si="2"/>
        <v>0</v>
      </c>
      <c r="AV37" s="7">
        <f t="shared" si="3"/>
        <v>46521.59</v>
      </c>
      <c r="AW37" s="7">
        <f t="shared" si="4"/>
        <v>204651.01</v>
      </c>
    </row>
    <row r="38" spans="1:49" ht="12.75">
      <c r="A38" s="95" t="s">
        <v>98</v>
      </c>
      <c r="B38" s="101">
        <v>41786</v>
      </c>
      <c r="C38" s="102">
        <v>27</v>
      </c>
      <c r="D38" s="7"/>
      <c r="E38" s="11"/>
      <c r="F38" s="15"/>
      <c r="G38" s="64"/>
      <c r="H38" s="15">
        <v>150</v>
      </c>
      <c r="I38" s="22"/>
      <c r="J38" s="15"/>
      <c r="L38" s="15"/>
      <c r="N38" s="15"/>
      <c r="P38" s="15"/>
      <c r="R38" s="15"/>
      <c r="S38" s="22">
        <v>150</v>
      </c>
      <c r="T38" s="10"/>
      <c r="U38" s="11"/>
      <c r="V38" s="15"/>
      <c r="W38" s="11"/>
      <c r="X38" s="15"/>
      <c r="Y38" s="11"/>
      <c r="Z38" s="10"/>
      <c r="AA38" s="11"/>
      <c r="AC38" s="11"/>
      <c r="AH38" s="10"/>
      <c r="AI38" s="65"/>
      <c r="AJ38" s="10"/>
      <c r="AK38" s="11"/>
      <c r="AL38" s="10"/>
      <c r="AM38" s="65"/>
      <c r="AN38" s="10"/>
      <c r="AO38" s="11"/>
      <c r="AP38" s="10"/>
      <c r="AQ38" s="11"/>
      <c r="AR38" s="5"/>
      <c r="AS38" s="31">
        <f t="shared" si="0"/>
        <v>150</v>
      </c>
      <c r="AT38" s="31">
        <f t="shared" si="1"/>
        <v>150</v>
      </c>
      <c r="AU38" s="31">
        <f t="shared" si="2"/>
        <v>0</v>
      </c>
      <c r="AV38" s="7">
        <f t="shared" si="3"/>
        <v>46521.59</v>
      </c>
      <c r="AW38" s="7">
        <f t="shared" si="4"/>
        <v>204801.01</v>
      </c>
    </row>
    <row r="39" spans="1:49" ht="12.75">
      <c r="A39" s="95" t="s">
        <v>99</v>
      </c>
      <c r="B39" s="101">
        <v>41786</v>
      </c>
      <c r="C39" s="102">
        <v>27</v>
      </c>
      <c r="D39" s="7"/>
      <c r="E39" s="11"/>
      <c r="F39" s="15"/>
      <c r="G39" s="64"/>
      <c r="H39" s="15">
        <v>150</v>
      </c>
      <c r="I39" s="22"/>
      <c r="J39" s="15"/>
      <c r="L39" s="15"/>
      <c r="N39" s="15"/>
      <c r="P39" s="15"/>
      <c r="R39" s="15"/>
      <c r="S39" s="22">
        <v>150</v>
      </c>
      <c r="T39" s="10"/>
      <c r="U39" s="11"/>
      <c r="V39" s="15"/>
      <c r="W39" s="11"/>
      <c r="X39" s="15"/>
      <c r="Y39" s="11"/>
      <c r="Z39" s="10"/>
      <c r="AA39" s="11"/>
      <c r="AC39" s="11"/>
      <c r="AH39" s="10"/>
      <c r="AI39" s="65"/>
      <c r="AJ39" s="10"/>
      <c r="AK39" s="11"/>
      <c r="AL39" s="10"/>
      <c r="AM39" s="65"/>
      <c r="AN39" s="10"/>
      <c r="AO39" s="11"/>
      <c r="AP39" s="10"/>
      <c r="AQ39" s="11"/>
      <c r="AR39" s="5"/>
      <c r="AS39" s="31">
        <f t="shared" si="0"/>
        <v>150</v>
      </c>
      <c r="AT39" s="31">
        <f t="shared" si="1"/>
        <v>150</v>
      </c>
      <c r="AU39" s="31">
        <f t="shared" si="2"/>
        <v>0</v>
      </c>
      <c r="AV39" s="7">
        <f t="shared" si="3"/>
        <v>46521.59</v>
      </c>
      <c r="AW39" s="7">
        <f t="shared" si="4"/>
        <v>204951.01</v>
      </c>
    </row>
    <row r="40" spans="1:49" ht="12.75">
      <c r="A40" s="95" t="s">
        <v>100</v>
      </c>
      <c r="B40" s="101">
        <v>41786</v>
      </c>
      <c r="C40" s="102">
        <v>28</v>
      </c>
      <c r="D40" s="7"/>
      <c r="E40" s="11"/>
      <c r="F40" s="15"/>
      <c r="G40" s="64"/>
      <c r="H40" s="15">
        <v>150</v>
      </c>
      <c r="I40" s="22"/>
      <c r="J40" s="15"/>
      <c r="L40" s="15"/>
      <c r="N40" s="15"/>
      <c r="P40" s="15"/>
      <c r="R40" s="15"/>
      <c r="S40" s="22">
        <v>150</v>
      </c>
      <c r="T40" s="10"/>
      <c r="U40" s="11"/>
      <c r="V40" s="15"/>
      <c r="W40" s="11"/>
      <c r="X40" s="15"/>
      <c r="Y40" s="11"/>
      <c r="Z40" s="10"/>
      <c r="AA40" s="11"/>
      <c r="AC40" s="11"/>
      <c r="AH40" s="10"/>
      <c r="AI40" s="65"/>
      <c r="AJ40" s="10"/>
      <c r="AK40" s="11"/>
      <c r="AL40" s="10"/>
      <c r="AM40" s="65"/>
      <c r="AN40" s="10"/>
      <c r="AO40" s="11"/>
      <c r="AP40" s="10"/>
      <c r="AQ40" s="11"/>
      <c r="AR40" s="5"/>
      <c r="AS40" s="31">
        <f t="shared" si="0"/>
        <v>150</v>
      </c>
      <c r="AT40" s="31">
        <f t="shared" si="1"/>
        <v>150</v>
      </c>
      <c r="AU40" s="31">
        <f t="shared" si="2"/>
        <v>0</v>
      </c>
      <c r="AV40" s="7">
        <f t="shared" si="3"/>
        <v>46521.59</v>
      </c>
      <c r="AW40" s="7">
        <f t="shared" si="4"/>
        <v>205101.01</v>
      </c>
    </row>
    <row r="41" spans="1:49" ht="12.75">
      <c r="A41" s="95" t="s">
        <v>101</v>
      </c>
      <c r="B41" s="101">
        <v>41787</v>
      </c>
      <c r="C41" s="102">
        <v>29</v>
      </c>
      <c r="D41" s="7"/>
      <c r="E41" s="11"/>
      <c r="F41" s="15"/>
      <c r="G41" s="64"/>
      <c r="H41" s="15">
        <v>150</v>
      </c>
      <c r="I41" s="22"/>
      <c r="J41" s="15"/>
      <c r="L41" s="15"/>
      <c r="N41" s="15"/>
      <c r="P41" s="15"/>
      <c r="R41" s="15"/>
      <c r="S41" s="22">
        <v>150</v>
      </c>
      <c r="T41" s="10"/>
      <c r="U41" s="11"/>
      <c r="V41" s="15"/>
      <c r="W41" s="11"/>
      <c r="X41" s="15"/>
      <c r="Y41" s="11"/>
      <c r="Z41" s="10"/>
      <c r="AA41" s="11"/>
      <c r="AC41" s="11"/>
      <c r="AH41" s="10"/>
      <c r="AI41" s="65"/>
      <c r="AJ41" s="10"/>
      <c r="AK41" s="11"/>
      <c r="AL41" s="10"/>
      <c r="AM41" s="65"/>
      <c r="AN41" s="10"/>
      <c r="AO41" s="11"/>
      <c r="AP41" s="10"/>
      <c r="AQ41" s="11"/>
      <c r="AR41" s="5"/>
      <c r="AS41" s="31">
        <f t="shared" si="0"/>
        <v>150</v>
      </c>
      <c r="AT41" s="31">
        <f t="shared" si="1"/>
        <v>150</v>
      </c>
      <c r="AU41" s="31">
        <f t="shared" si="2"/>
        <v>0</v>
      </c>
      <c r="AV41" s="7">
        <f t="shared" si="3"/>
        <v>46521.59</v>
      </c>
      <c r="AW41" s="7">
        <f t="shared" si="4"/>
        <v>205251.01</v>
      </c>
    </row>
    <row r="42" spans="1:49" ht="12.75">
      <c r="A42" s="95" t="s">
        <v>102</v>
      </c>
      <c r="B42" s="101">
        <v>41787</v>
      </c>
      <c r="C42" s="102">
        <v>29</v>
      </c>
      <c r="D42" s="7"/>
      <c r="E42" s="11"/>
      <c r="F42" s="15"/>
      <c r="G42" s="64"/>
      <c r="H42" s="15">
        <v>150</v>
      </c>
      <c r="I42" s="22"/>
      <c r="J42" s="15"/>
      <c r="L42" s="15"/>
      <c r="N42" s="15"/>
      <c r="P42" s="15"/>
      <c r="R42" s="15"/>
      <c r="S42" s="22">
        <v>150</v>
      </c>
      <c r="T42" s="10"/>
      <c r="U42" s="11"/>
      <c r="V42" s="15"/>
      <c r="W42" s="11"/>
      <c r="X42" s="15"/>
      <c r="Y42" s="11"/>
      <c r="Z42" s="10"/>
      <c r="AA42" s="11"/>
      <c r="AC42" s="11"/>
      <c r="AH42" s="10"/>
      <c r="AI42" s="65"/>
      <c r="AJ42" s="10"/>
      <c r="AK42" s="11"/>
      <c r="AL42" s="10"/>
      <c r="AM42" s="65"/>
      <c r="AN42" s="10"/>
      <c r="AO42" s="11"/>
      <c r="AP42" s="10"/>
      <c r="AQ42" s="11"/>
      <c r="AR42" s="5"/>
      <c r="AS42" s="31">
        <f t="shared" si="0"/>
        <v>150</v>
      </c>
      <c r="AT42" s="31">
        <f t="shared" si="1"/>
        <v>150</v>
      </c>
      <c r="AU42" s="31">
        <f t="shared" si="2"/>
        <v>0</v>
      </c>
      <c r="AV42" s="7">
        <f t="shared" si="3"/>
        <v>46521.59</v>
      </c>
      <c r="AW42" s="7">
        <f t="shared" si="4"/>
        <v>205401.01</v>
      </c>
    </row>
    <row r="43" spans="1:49" ht="12.75">
      <c r="A43" s="95" t="s">
        <v>106</v>
      </c>
      <c r="B43" s="101">
        <v>41787</v>
      </c>
      <c r="C43" s="102">
        <v>30</v>
      </c>
      <c r="D43" s="7"/>
      <c r="E43" s="11"/>
      <c r="F43" s="15"/>
      <c r="G43" s="64"/>
      <c r="H43" s="15">
        <v>150</v>
      </c>
      <c r="I43" s="22"/>
      <c r="J43" s="15"/>
      <c r="L43" s="15"/>
      <c r="N43" s="15"/>
      <c r="P43" s="15"/>
      <c r="R43" s="15"/>
      <c r="S43" s="22">
        <v>150</v>
      </c>
      <c r="T43" s="10"/>
      <c r="U43" s="11"/>
      <c r="V43" s="15"/>
      <c r="W43" s="11"/>
      <c r="X43" s="15"/>
      <c r="Y43" s="11"/>
      <c r="Z43" s="10"/>
      <c r="AA43" s="11"/>
      <c r="AC43" s="11"/>
      <c r="AH43" s="10"/>
      <c r="AI43" s="65"/>
      <c r="AJ43" s="10"/>
      <c r="AK43" s="11"/>
      <c r="AL43" s="10"/>
      <c r="AM43" s="65"/>
      <c r="AN43" s="10"/>
      <c r="AO43" s="11"/>
      <c r="AP43" s="10"/>
      <c r="AQ43" s="11"/>
      <c r="AR43" s="5"/>
      <c r="AS43" s="31">
        <f t="shared" si="0"/>
        <v>150</v>
      </c>
      <c r="AT43" s="31">
        <f t="shared" si="1"/>
        <v>150</v>
      </c>
      <c r="AU43" s="31">
        <f t="shared" si="2"/>
        <v>0</v>
      </c>
      <c r="AV43" s="7">
        <f t="shared" si="3"/>
        <v>46521.59</v>
      </c>
      <c r="AW43" s="7">
        <f t="shared" si="4"/>
        <v>205551.01</v>
      </c>
    </row>
    <row r="44" spans="1:49" ht="12.75">
      <c r="A44" s="96" t="s">
        <v>84</v>
      </c>
      <c r="B44" s="101">
        <v>41787</v>
      </c>
      <c r="C44" s="102">
        <v>31</v>
      </c>
      <c r="D44" s="7"/>
      <c r="E44" s="11"/>
      <c r="F44" s="15"/>
      <c r="G44" s="64"/>
      <c r="H44" s="15"/>
      <c r="I44" s="22">
        <v>1000</v>
      </c>
      <c r="J44" s="15"/>
      <c r="L44" s="15"/>
      <c r="N44" s="15"/>
      <c r="P44" s="15"/>
      <c r="R44" s="15"/>
      <c r="T44" s="10"/>
      <c r="U44" s="11"/>
      <c r="V44" s="15">
        <v>1000</v>
      </c>
      <c r="W44" s="11"/>
      <c r="X44" s="15"/>
      <c r="Y44" s="11"/>
      <c r="Z44" s="10"/>
      <c r="AA44" s="11"/>
      <c r="AC44" s="11"/>
      <c r="AH44" s="10"/>
      <c r="AI44" s="65"/>
      <c r="AJ44" s="10"/>
      <c r="AK44" s="11"/>
      <c r="AL44" s="10"/>
      <c r="AM44" s="65"/>
      <c r="AN44" s="10"/>
      <c r="AO44" s="11"/>
      <c r="AP44" s="10"/>
      <c r="AQ44" s="11"/>
      <c r="AR44" s="5"/>
      <c r="AS44" s="31">
        <f t="shared" si="0"/>
        <v>1000</v>
      </c>
      <c r="AT44" s="31">
        <f t="shared" si="1"/>
        <v>1000</v>
      </c>
      <c r="AU44" s="31">
        <f t="shared" si="2"/>
        <v>0</v>
      </c>
      <c r="AV44" s="7">
        <f t="shared" si="3"/>
        <v>46521.59</v>
      </c>
      <c r="AW44" s="7">
        <f t="shared" si="4"/>
        <v>204551.01</v>
      </c>
    </row>
    <row r="45" spans="1:49" ht="12.75">
      <c r="A45" s="93" t="s">
        <v>109</v>
      </c>
      <c r="B45" s="101">
        <v>41789</v>
      </c>
      <c r="C45" s="102">
        <v>32</v>
      </c>
      <c r="D45" s="7"/>
      <c r="E45" s="11"/>
      <c r="F45" s="15"/>
      <c r="G45" s="64"/>
      <c r="H45" s="15">
        <v>150</v>
      </c>
      <c r="I45" s="22"/>
      <c r="J45" s="15"/>
      <c r="L45" s="15"/>
      <c r="N45" s="15"/>
      <c r="P45" s="15"/>
      <c r="R45" s="15"/>
      <c r="S45" s="22">
        <v>150</v>
      </c>
      <c r="T45" s="10"/>
      <c r="U45" s="11"/>
      <c r="V45" s="15"/>
      <c r="W45" s="11"/>
      <c r="X45" s="15"/>
      <c r="Y45" s="11"/>
      <c r="Z45" s="10"/>
      <c r="AA45" s="11"/>
      <c r="AC45" s="11"/>
      <c r="AH45" s="10"/>
      <c r="AI45" s="65"/>
      <c r="AJ45" s="10"/>
      <c r="AK45" s="11"/>
      <c r="AL45" s="10"/>
      <c r="AM45" s="65"/>
      <c r="AN45" s="10"/>
      <c r="AO45" s="11"/>
      <c r="AP45" s="10"/>
      <c r="AQ45" s="11"/>
      <c r="AR45" s="5"/>
      <c r="AS45" s="31">
        <f aca="true" t="shared" si="5" ref="AS45:AT50">D45+F45+H45+J45+L45+N45+P45+R45+T45+V45+X45+Z45+AB45+AD45+AF45+AH45+AJ45+AL45+AN45+AP45</f>
        <v>150</v>
      </c>
      <c r="AT45" s="31">
        <f t="shared" si="5"/>
        <v>150</v>
      </c>
      <c r="AU45" s="31">
        <f aca="true" t="shared" si="6" ref="AU45:AU50">AS45-AT45</f>
        <v>0</v>
      </c>
      <c r="AV45" s="7">
        <f t="shared" si="3"/>
        <v>46521.59</v>
      </c>
      <c r="AW45" s="7">
        <f t="shared" si="4"/>
        <v>204701.01</v>
      </c>
    </row>
    <row r="46" spans="1:49" ht="12.75">
      <c r="A46" s="93" t="s">
        <v>108</v>
      </c>
      <c r="B46" s="101">
        <v>41789</v>
      </c>
      <c r="C46" s="102">
        <v>32</v>
      </c>
      <c r="D46" s="7"/>
      <c r="E46" s="11"/>
      <c r="F46" s="15"/>
      <c r="G46" s="64"/>
      <c r="H46" s="15">
        <v>150</v>
      </c>
      <c r="I46" s="22"/>
      <c r="J46" s="15"/>
      <c r="L46" s="15"/>
      <c r="N46" s="15"/>
      <c r="P46" s="15"/>
      <c r="R46" s="15"/>
      <c r="S46" s="22">
        <v>150</v>
      </c>
      <c r="T46" s="10"/>
      <c r="U46" s="11"/>
      <c r="V46" s="15"/>
      <c r="W46" s="11"/>
      <c r="X46" s="15"/>
      <c r="Y46" s="11"/>
      <c r="Z46" s="10"/>
      <c r="AA46" s="11"/>
      <c r="AC46" s="11"/>
      <c r="AH46" s="10"/>
      <c r="AI46" s="65"/>
      <c r="AJ46" s="10"/>
      <c r="AK46" s="11"/>
      <c r="AL46" s="10"/>
      <c r="AM46" s="65"/>
      <c r="AN46" s="10"/>
      <c r="AO46" s="11"/>
      <c r="AP46" s="10"/>
      <c r="AQ46" s="11"/>
      <c r="AR46" s="5"/>
      <c r="AS46" s="31">
        <f t="shared" si="5"/>
        <v>150</v>
      </c>
      <c r="AT46" s="31">
        <f t="shared" si="5"/>
        <v>150</v>
      </c>
      <c r="AU46" s="31">
        <f t="shared" si="6"/>
        <v>0</v>
      </c>
      <c r="AV46" s="7">
        <f t="shared" si="3"/>
        <v>46521.59</v>
      </c>
      <c r="AW46" s="7">
        <f t="shared" si="4"/>
        <v>204851.01</v>
      </c>
    </row>
    <row r="47" spans="1:49" ht="12.75">
      <c r="A47" s="93" t="s">
        <v>107</v>
      </c>
      <c r="B47" s="101">
        <v>41789</v>
      </c>
      <c r="C47" s="102">
        <v>32</v>
      </c>
      <c r="D47" s="7"/>
      <c r="E47" s="11"/>
      <c r="F47" s="15"/>
      <c r="G47" s="64"/>
      <c r="H47" s="15">
        <v>150</v>
      </c>
      <c r="I47" s="22"/>
      <c r="J47" s="15"/>
      <c r="L47" s="15"/>
      <c r="N47" s="15"/>
      <c r="P47" s="15"/>
      <c r="R47" s="15"/>
      <c r="S47" s="22">
        <v>150</v>
      </c>
      <c r="T47" s="10"/>
      <c r="U47" s="11"/>
      <c r="V47" s="15"/>
      <c r="W47" s="11"/>
      <c r="X47" s="15"/>
      <c r="Y47" s="11"/>
      <c r="Z47" s="10"/>
      <c r="AA47" s="11"/>
      <c r="AC47" s="11"/>
      <c r="AH47" s="10"/>
      <c r="AI47" s="65"/>
      <c r="AJ47" s="10"/>
      <c r="AK47" s="11"/>
      <c r="AL47" s="10"/>
      <c r="AM47" s="65"/>
      <c r="AN47" s="10"/>
      <c r="AO47" s="11"/>
      <c r="AP47" s="10"/>
      <c r="AQ47" s="11"/>
      <c r="AR47" s="5"/>
      <c r="AS47" s="31">
        <f t="shared" si="5"/>
        <v>150</v>
      </c>
      <c r="AT47" s="31">
        <f t="shared" si="5"/>
        <v>150</v>
      </c>
      <c r="AU47" s="31">
        <f t="shared" si="6"/>
        <v>0</v>
      </c>
      <c r="AV47" s="7">
        <f t="shared" si="3"/>
        <v>46521.59</v>
      </c>
      <c r="AW47" s="7">
        <f t="shared" si="4"/>
        <v>205001.01</v>
      </c>
    </row>
    <row r="48" spans="1:49" ht="12.75">
      <c r="A48" s="93" t="s">
        <v>103</v>
      </c>
      <c r="B48" s="101">
        <v>41789</v>
      </c>
      <c r="C48" s="102">
        <v>32</v>
      </c>
      <c r="D48" s="7"/>
      <c r="E48" s="11"/>
      <c r="F48" s="15"/>
      <c r="G48" s="64"/>
      <c r="H48" s="15">
        <v>150</v>
      </c>
      <c r="I48" s="22"/>
      <c r="J48" s="15"/>
      <c r="L48" s="15"/>
      <c r="N48" s="15"/>
      <c r="P48" s="15"/>
      <c r="R48" s="15"/>
      <c r="S48" s="22">
        <v>150</v>
      </c>
      <c r="T48" s="10"/>
      <c r="U48" s="11"/>
      <c r="V48" s="15"/>
      <c r="W48" s="11"/>
      <c r="X48" s="15"/>
      <c r="Y48" s="11"/>
      <c r="Z48" s="10"/>
      <c r="AA48" s="11"/>
      <c r="AC48" s="11"/>
      <c r="AH48" s="10"/>
      <c r="AI48" s="65"/>
      <c r="AJ48" s="10"/>
      <c r="AK48" s="11"/>
      <c r="AL48" s="10"/>
      <c r="AM48" s="65"/>
      <c r="AN48" s="10"/>
      <c r="AO48" s="11"/>
      <c r="AP48" s="10"/>
      <c r="AQ48" s="11"/>
      <c r="AR48" s="5"/>
      <c r="AS48" s="31">
        <f t="shared" si="5"/>
        <v>150</v>
      </c>
      <c r="AT48" s="31">
        <f t="shared" si="5"/>
        <v>150</v>
      </c>
      <c r="AU48" s="31">
        <f t="shared" si="6"/>
        <v>0</v>
      </c>
      <c r="AV48" s="7">
        <f t="shared" si="3"/>
        <v>46521.59</v>
      </c>
      <c r="AW48" s="7">
        <f t="shared" si="4"/>
        <v>205151.01</v>
      </c>
    </row>
    <row r="49" spans="1:49" ht="12.75">
      <c r="A49" s="93" t="s">
        <v>110</v>
      </c>
      <c r="B49" s="101">
        <v>41789</v>
      </c>
      <c r="C49" s="102">
        <v>32</v>
      </c>
      <c r="D49" s="7"/>
      <c r="E49" s="11"/>
      <c r="F49" s="15"/>
      <c r="G49" s="64"/>
      <c r="H49" s="15">
        <v>150</v>
      </c>
      <c r="I49" s="22"/>
      <c r="J49" s="15"/>
      <c r="L49" s="15"/>
      <c r="N49" s="15"/>
      <c r="P49" s="15"/>
      <c r="R49" s="15"/>
      <c r="S49" s="22">
        <v>150</v>
      </c>
      <c r="T49" s="10"/>
      <c r="U49" s="11"/>
      <c r="V49" s="15"/>
      <c r="W49" s="11"/>
      <c r="X49" s="15"/>
      <c r="Y49" s="11"/>
      <c r="Z49" s="10"/>
      <c r="AA49" s="11"/>
      <c r="AC49" s="11"/>
      <c r="AH49" s="10"/>
      <c r="AI49" s="65"/>
      <c r="AJ49" s="10"/>
      <c r="AK49" s="11"/>
      <c r="AL49" s="10"/>
      <c r="AM49" s="65"/>
      <c r="AN49" s="10"/>
      <c r="AO49" s="11"/>
      <c r="AP49" s="10"/>
      <c r="AQ49" s="11"/>
      <c r="AR49" s="5"/>
      <c r="AS49" s="31">
        <f t="shared" si="5"/>
        <v>150</v>
      </c>
      <c r="AT49" s="31">
        <f t="shared" si="5"/>
        <v>150</v>
      </c>
      <c r="AU49" s="31">
        <f t="shared" si="6"/>
        <v>0</v>
      </c>
      <c r="AV49" s="7">
        <f t="shared" si="3"/>
        <v>46521.59</v>
      </c>
      <c r="AW49" s="7">
        <f t="shared" si="4"/>
        <v>205301.01</v>
      </c>
    </row>
    <row r="50" spans="1:49" ht="12.75">
      <c r="A50" s="96" t="s">
        <v>59</v>
      </c>
      <c r="B50" s="101">
        <v>41789</v>
      </c>
      <c r="C50" s="102">
        <v>33</v>
      </c>
      <c r="D50" s="7"/>
      <c r="E50" s="11"/>
      <c r="F50" s="15"/>
      <c r="G50" s="64"/>
      <c r="H50" s="15"/>
      <c r="I50" s="22">
        <v>6</v>
      </c>
      <c r="J50" s="15"/>
      <c r="L50" s="15"/>
      <c r="N50" s="15"/>
      <c r="P50" s="15"/>
      <c r="R50" s="15"/>
      <c r="T50" s="10"/>
      <c r="U50" s="11"/>
      <c r="V50" s="15"/>
      <c r="W50" s="11"/>
      <c r="X50" s="15">
        <v>6</v>
      </c>
      <c r="Y50" s="11"/>
      <c r="Z50" s="10"/>
      <c r="AA50" s="11"/>
      <c r="AC50" s="11"/>
      <c r="AH50" s="10"/>
      <c r="AI50" s="65"/>
      <c r="AJ50" s="10"/>
      <c r="AK50" s="11"/>
      <c r="AL50" s="10"/>
      <c r="AM50" s="65"/>
      <c r="AN50" s="10"/>
      <c r="AO50" s="11"/>
      <c r="AP50" s="10"/>
      <c r="AQ50" s="11"/>
      <c r="AR50" s="5"/>
      <c r="AS50" s="31">
        <f t="shared" si="5"/>
        <v>6</v>
      </c>
      <c r="AT50" s="31">
        <f t="shared" si="5"/>
        <v>6</v>
      </c>
      <c r="AU50" s="31">
        <f t="shared" si="6"/>
        <v>0</v>
      </c>
      <c r="AV50" s="7">
        <f t="shared" si="3"/>
        <v>46521.59</v>
      </c>
      <c r="AW50" s="71">
        <f t="shared" si="4"/>
        <v>205295.01</v>
      </c>
    </row>
    <row r="51" spans="1:49" ht="12.75">
      <c r="A51" s="93" t="s">
        <v>111</v>
      </c>
      <c r="B51" s="101">
        <v>41792</v>
      </c>
      <c r="C51" s="102">
        <v>34</v>
      </c>
      <c r="D51" s="7"/>
      <c r="E51" s="11"/>
      <c r="F51" s="15"/>
      <c r="G51" s="64"/>
      <c r="H51" s="15">
        <v>150</v>
      </c>
      <c r="I51" s="22"/>
      <c r="J51" s="15"/>
      <c r="L51" s="15"/>
      <c r="N51" s="15"/>
      <c r="P51" s="15"/>
      <c r="R51" s="15"/>
      <c r="S51" s="22">
        <v>150</v>
      </c>
      <c r="T51" s="10"/>
      <c r="U51" s="11"/>
      <c r="V51" s="15"/>
      <c r="W51" s="11"/>
      <c r="X51" s="15"/>
      <c r="Y51" s="11"/>
      <c r="Z51" s="10"/>
      <c r="AA51" s="11"/>
      <c r="AC51" s="11"/>
      <c r="AH51" s="10"/>
      <c r="AI51" s="65"/>
      <c r="AJ51" s="10"/>
      <c r="AK51" s="11"/>
      <c r="AL51" s="10"/>
      <c r="AM51" s="65"/>
      <c r="AN51" s="10"/>
      <c r="AO51" s="11"/>
      <c r="AP51" s="10"/>
      <c r="AQ51" s="11"/>
      <c r="AR51" s="5"/>
      <c r="AS51" s="31">
        <f aca="true" t="shared" si="7" ref="AS51:AS63">D51+F51+H51+J51+L51+N51+P51+R51+T51+V51+X51+Z51+AB51+AD51+AF51+AH51+AJ51+AL51+AN51+AP51</f>
        <v>150</v>
      </c>
      <c r="AT51" s="31">
        <f aca="true" t="shared" si="8" ref="AT51:AT63">E51+G51+I51+K51+M51+O51+Q51+S51+U51+W51+Y51+AA51+AC51+AE51+AG51+AI51+AK51+AM51+AO51+AQ51</f>
        <v>150</v>
      </c>
      <c r="AU51" s="31">
        <f aca="true" t="shared" si="9" ref="AU51:AU63">AS51-AT51</f>
        <v>0</v>
      </c>
      <c r="AV51" s="7">
        <f t="shared" si="3"/>
        <v>46521.59</v>
      </c>
      <c r="AW51" s="7">
        <f t="shared" si="4"/>
        <v>205445.01</v>
      </c>
    </row>
    <row r="52" spans="1:49" ht="12.75">
      <c r="A52" s="96" t="s">
        <v>132</v>
      </c>
      <c r="B52" s="101">
        <v>41793</v>
      </c>
      <c r="C52" s="102">
        <v>35</v>
      </c>
      <c r="D52" s="7"/>
      <c r="E52" s="11"/>
      <c r="F52" s="15"/>
      <c r="G52" s="64"/>
      <c r="H52" s="15"/>
      <c r="I52" s="22"/>
      <c r="J52" s="15"/>
      <c r="L52" s="15"/>
      <c r="M52" s="22">
        <f>1295+930+740+1223+1220+1030+1683.5+840+840+1240+1091+1084</f>
        <v>13216.5</v>
      </c>
      <c r="N52" s="15"/>
      <c r="P52" s="15"/>
      <c r="R52" s="15"/>
      <c r="T52" s="10"/>
      <c r="U52" s="11"/>
      <c r="V52" s="15"/>
      <c r="W52" s="11"/>
      <c r="X52" s="15"/>
      <c r="Y52" s="11"/>
      <c r="Z52" s="10"/>
      <c r="AA52" s="11"/>
      <c r="AC52" s="11"/>
      <c r="AD52" s="15">
        <f>1295+930+740+1223+1220+1030+1683.5+840+840+1240+1091+1084</f>
        <v>13216.5</v>
      </c>
      <c r="AH52" s="10"/>
      <c r="AI52" s="65"/>
      <c r="AJ52" s="10"/>
      <c r="AK52" s="11"/>
      <c r="AL52" s="10"/>
      <c r="AM52" s="65"/>
      <c r="AN52" s="10"/>
      <c r="AO52" s="11"/>
      <c r="AP52" s="10"/>
      <c r="AQ52" s="11"/>
      <c r="AR52" s="5"/>
      <c r="AS52" s="31">
        <f>D52+F52+H52+J52+L52+N52+P52+R52+T52+V52+X52+Z52+AB52+AD52+AF52+AH52+AJ52+AL52+AN52+AP52</f>
        <v>13216.5</v>
      </c>
      <c r="AT52" s="31">
        <f>E52+G52+I52+K52+M52+O52+Q52+S52+U52+W52+Y52+AA52+AC52+AE52+AG52+AI52+AK52+AM52+AO52+AQ52</f>
        <v>13216.5</v>
      </c>
      <c r="AU52" s="31">
        <f>AS52-AT52</f>
        <v>0</v>
      </c>
      <c r="AV52" s="7">
        <f t="shared" si="3"/>
        <v>46521.59</v>
      </c>
      <c r="AW52" s="7">
        <f t="shared" si="4"/>
        <v>192228.51</v>
      </c>
    </row>
    <row r="53" spans="1:49" ht="12.75">
      <c r="A53" s="93" t="s">
        <v>112</v>
      </c>
      <c r="B53" s="101">
        <v>41793</v>
      </c>
      <c r="C53" s="102">
        <v>36</v>
      </c>
      <c r="D53" s="7"/>
      <c r="E53" s="11"/>
      <c r="F53" s="15"/>
      <c r="G53" s="64"/>
      <c r="H53" s="15">
        <v>150</v>
      </c>
      <c r="I53" s="22"/>
      <c r="J53" s="15"/>
      <c r="L53" s="15"/>
      <c r="N53" s="15"/>
      <c r="P53" s="15"/>
      <c r="R53" s="15"/>
      <c r="S53" s="22">
        <v>150</v>
      </c>
      <c r="T53" s="10"/>
      <c r="U53" s="11"/>
      <c r="V53" s="15"/>
      <c r="W53" s="11"/>
      <c r="X53" s="15"/>
      <c r="Y53" s="11"/>
      <c r="Z53" s="10"/>
      <c r="AA53" s="11"/>
      <c r="AC53" s="11"/>
      <c r="AH53" s="10"/>
      <c r="AI53" s="65"/>
      <c r="AJ53" s="10"/>
      <c r="AK53" s="11"/>
      <c r="AL53" s="10"/>
      <c r="AM53" s="65"/>
      <c r="AN53" s="10"/>
      <c r="AO53" s="11"/>
      <c r="AP53" s="10"/>
      <c r="AQ53" s="11"/>
      <c r="AR53" s="5"/>
      <c r="AS53" s="31">
        <f t="shared" si="7"/>
        <v>150</v>
      </c>
      <c r="AT53" s="31">
        <f t="shared" si="8"/>
        <v>150</v>
      </c>
      <c r="AU53" s="31">
        <f t="shared" si="9"/>
        <v>0</v>
      </c>
      <c r="AV53" s="7">
        <f t="shared" si="3"/>
        <v>46521.59</v>
      </c>
      <c r="AW53" s="7">
        <f t="shared" si="4"/>
        <v>192378.51</v>
      </c>
    </row>
    <row r="54" spans="1:49" ht="12.75">
      <c r="A54" s="93" t="s">
        <v>113</v>
      </c>
      <c r="B54" s="101">
        <v>41796</v>
      </c>
      <c r="C54" s="102">
        <v>37</v>
      </c>
      <c r="D54" s="7"/>
      <c r="E54" s="11"/>
      <c r="F54" s="15"/>
      <c r="G54" s="64"/>
      <c r="H54" s="15">
        <v>150</v>
      </c>
      <c r="I54" s="22"/>
      <c r="J54" s="15"/>
      <c r="L54" s="15"/>
      <c r="N54" s="15"/>
      <c r="P54" s="15"/>
      <c r="R54" s="15"/>
      <c r="S54" s="22">
        <v>150</v>
      </c>
      <c r="T54" s="10"/>
      <c r="U54" s="11"/>
      <c r="V54" s="15"/>
      <c r="W54" s="11"/>
      <c r="X54" s="15"/>
      <c r="Y54" s="11"/>
      <c r="Z54" s="10"/>
      <c r="AA54" s="11"/>
      <c r="AC54" s="11"/>
      <c r="AH54" s="10"/>
      <c r="AI54" s="65"/>
      <c r="AJ54" s="10"/>
      <c r="AK54" s="11"/>
      <c r="AL54" s="10"/>
      <c r="AM54" s="65"/>
      <c r="AN54" s="10"/>
      <c r="AO54" s="11"/>
      <c r="AP54" s="10"/>
      <c r="AQ54" s="11"/>
      <c r="AR54" s="5"/>
      <c r="AS54" s="31">
        <f t="shared" si="7"/>
        <v>150</v>
      </c>
      <c r="AT54" s="31">
        <f t="shared" si="8"/>
        <v>150</v>
      </c>
      <c r="AU54" s="31">
        <f t="shared" si="9"/>
        <v>0</v>
      </c>
      <c r="AV54" s="7">
        <f t="shared" si="3"/>
        <v>46521.59</v>
      </c>
      <c r="AW54" s="7">
        <f t="shared" si="4"/>
        <v>192528.51</v>
      </c>
    </row>
    <row r="55" spans="1:49" ht="12.75">
      <c r="A55" s="93" t="s">
        <v>114</v>
      </c>
      <c r="B55" s="101">
        <v>41796</v>
      </c>
      <c r="C55" s="102">
        <v>37</v>
      </c>
      <c r="D55" s="7"/>
      <c r="E55" s="11"/>
      <c r="F55" s="15"/>
      <c r="G55" s="64"/>
      <c r="H55" s="15">
        <v>150</v>
      </c>
      <c r="I55" s="22"/>
      <c r="J55" s="15"/>
      <c r="L55" s="15"/>
      <c r="N55" s="15"/>
      <c r="P55" s="15"/>
      <c r="R55" s="15"/>
      <c r="S55" s="22">
        <v>150</v>
      </c>
      <c r="T55" s="10"/>
      <c r="U55" s="11"/>
      <c r="V55" s="15"/>
      <c r="W55" s="11"/>
      <c r="X55" s="15"/>
      <c r="Y55" s="11"/>
      <c r="Z55" s="10"/>
      <c r="AA55" s="11"/>
      <c r="AC55" s="11"/>
      <c r="AH55" s="10"/>
      <c r="AI55" s="65"/>
      <c r="AJ55" s="10"/>
      <c r="AK55" s="11"/>
      <c r="AL55" s="10"/>
      <c r="AM55" s="65"/>
      <c r="AN55" s="10"/>
      <c r="AO55" s="11"/>
      <c r="AP55" s="10"/>
      <c r="AQ55" s="11"/>
      <c r="AR55" s="5"/>
      <c r="AS55" s="31">
        <f t="shared" si="7"/>
        <v>150</v>
      </c>
      <c r="AT55" s="31">
        <f t="shared" si="8"/>
        <v>150</v>
      </c>
      <c r="AU55" s="31">
        <f t="shared" si="9"/>
        <v>0</v>
      </c>
      <c r="AV55" s="7">
        <f t="shared" si="3"/>
        <v>46521.59</v>
      </c>
      <c r="AW55" s="7">
        <f t="shared" si="4"/>
        <v>192678.51</v>
      </c>
    </row>
    <row r="56" spans="1:49" ht="12.75">
      <c r="A56" s="93" t="s">
        <v>123</v>
      </c>
      <c r="B56" s="101">
        <v>41800</v>
      </c>
      <c r="C56" s="102">
        <v>38</v>
      </c>
      <c r="D56" s="7"/>
      <c r="E56" s="11"/>
      <c r="F56" s="15"/>
      <c r="G56" s="64"/>
      <c r="H56" s="15">
        <v>150</v>
      </c>
      <c r="I56" s="22"/>
      <c r="J56" s="15"/>
      <c r="L56" s="15"/>
      <c r="N56" s="15"/>
      <c r="P56" s="15"/>
      <c r="R56" s="15"/>
      <c r="S56" s="22">
        <v>150</v>
      </c>
      <c r="T56" s="10"/>
      <c r="U56" s="11"/>
      <c r="V56" s="15"/>
      <c r="W56" s="11"/>
      <c r="X56" s="15"/>
      <c r="Y56" s="11"/>
      <c r="Z56" s="10"/>
      <c r="AA56" s="11"/>
      <c r="AC56" s="11"/>
      <c r="AH56" s="10"/>
      <c r="AI56" s="65"/>
      <c r="AJ56" s="10"/>
      <c r="AK56" s="11"/>
      <c r="AL56" s="10"/>
      <c r="AM56" s="65"/>
      <c r="AN56" s="10"/>
      <c r="AO56" s="11"/>
      <c r="AP56" s="10"/>
      <c r="AQ56" s="11"/>
      <c r="AR56" s="5"/>
      <c r="AS56" s="31">
        <f t="shared" si="7"/>
        <v>150</v>
      </c>
      <c r="AT56" s="31">
        <f t="shared" si="8"/>
        <v>150</v>
      </c>
      <c r="AU56" s="31">
        <f t="shared" si="9"/>
        <v>0</v>
      </c>
      <c r="AV56" s="7">
        <f t="shared" si="3"/>
        <v>46521.59</v>
      </c>
      <c r="AW56" s="7">
        <f t="shared" si="4"/>
        <v>192828.51</v>
      </c>
    </row>
    <row r="57" spans="1:49" ht="12.75">
      <c r="A57" s="93" t="s">
        <v>116</v>
      </c>
      <c r="B57" s="101">
        <v>41801</v>
      </c>
      <c r="C57" s="102">
        <v>39</v>
      </c>
      <c r="D57" s="7"/>
      <c r="E57" s="11"/>
      <c r="F57" s="15"/>
      <c r="G57" s="64"/>
      <c r="H57" s="15">
        <v>150</v>
      </c>
      <c r="I57" s="22"/>
      <c r="J57" s="15"/>
      <c r="L57" s="15"/>
      <c r="N57" s="15"/>
      <c r="P57" s="15"/>
      <c r="R57" s="15"/>
      <c r="S57" s="22">
        <v>150</v>
      </c>
      <c r="T57" s="10"/>
      <c r="U57" s="11"/>
      <c r="V57" s="15"/>
      <c r="W57" s="11"/>
      <c r="X57" s="15"/>
      <c r="Y57" s="11"/>
      <c r="Z57" s="10"/>
      <c r="AA57" s="11"/>
      <c r="AC57" s="11"/>
      <c r="AH57" s="10"/>
      <c r="AI57" s="65"/>
      <c r="AJ57" s="10"/>
      <c r="AK57" s="11"/>
      <c r="AL57" s="10"/>
      <c r="AM57" s="65"/>
      <c r="AN57" s="10"/>
      <c r="AO57" s="11"/>
      <c r="AP57" s="10"/>
      <c r="AQ57" s="11"/>
      <c r="AR57" s="5"/>
      <c r="AS57" s="31">
        <f t="shared" si="7"/>
        <v>150</v>
      </c>
      <c r="AT57" s="31">
        <f t="shared" si="8"/>
        <v>150</v>
      </c>
      <c r="AU57" s="31">
        <f t="shared" si="9"/>
        <v>0</v>
      </c>
      <c r="AV57" s="7">
        <f t="shared" si="3"/>
        <v>46521.59</v>
      </c>
      <c r="AW57" s="7">
        <f t="shared" si="4"/>
        <v>192978.51</v>
      </c>
    </row>
    <row r="58" spans="1:49" ht="12.75">
      <c r="A58" s="93" t="s">
        <v>115</v>
      </c>
      <c r="B58" s="101">
        <v>41801</v>
      </c>
      <c r="C58" s="102">
        <v>40</v>
      </c>
      <c r="D58" s="7"/>
      <c r="E58" s="11"/>
      <c r="F58" s="15"/>
      <c r="G58" s="64"/>
      <c r="H58" s="15">
        <v>150</v>
      </c>
      <c r="I58" s="22"/>
      <c r="J58" s="15"/>
      <c r="L58" s="15"/>
      <c r="N58" s="15"/>
      <c r="P58" s="15"/>
      <c r="R58" s="15"/>
      <c r="S58" s="22">
        <v>150</v>
      </c>
      <c r="T58" s="10"/>
      <c r="U58" s="11"/>
      <c r="V58" s="15"/>
      <c r="W58" s="11"/>
      <c r="X58" s="15"/>
      <c r="Y58" s="11"/>
      <c r="Z58" s="10"/>
      <c r="AA58" s="11"/>
      <c r="AC58" s="11"/>
      <c r="AH58" s="10"/>
      <c r="AI58" s="65"/>
      <c r="AJ58" s="10"/>
      <c r="AK58" s="11"/>
      <c r="AL58" s="10"/>
      <c r="AM58" s="65"/>
      <c r="AN58" s="10"/>
      <c r="AO58" s="11"/>
      <c r="AP58" s="10"/>
      <c r="AQ58" s="11"/>
      <c r="AR58" s="5"/>
      <c r="AS58" s="31">
        <f>D58+F58+H58+J58+L58+N58+P58+R58+T58+V58+X58+Z58+AB58+AD58+AF58+AH58+AJ58+AL58+AN58+AP58</f>
        <v>150</v>
      </c>
      <c r="AT58" s="31">
        <f>E58+G58+I58+K58+M58+O58+Q58+S58+U58+W58+Y58+AA58+AC58+AE58+AG58+AI58+AK58+AM58+AO58+AQ58</f>
        <v>150</v>
      </c>
      <c r="AU58" s="31">
        <f>AS58-AT58</f>
        <v>0</v>
      </c>
      <c r="AV58" s="7">
        <f t="shared" si="3"/>
        <v>46521.59</v>
      </c>
      <c r="AW58" s="7">
        <f t="shared" si="4"/>
        <v>193128.51</v>
      </c>
    </row>
    <row r="59" spans="1:49" ht="12.75">
      <c r="A59" s="93" t="s">
        <v>110</v>
      </c>
      <c r="B59" s="101">
        <v>41802</v>
      </c>
      <c r="C59" s="102">
        <v>41</v>
      </c>
      <c r="D59" s="7"/>
      <c r="E59" s="11"/>
      <c r="F59" s="15"/>
      <c r="G59" s="64"/>
      <c r="H59" s="15">
        <v>150</v>
      </c>
      <c r="I59" s="22"/>
      <c r="J59" s="15"/>
      <c r="L59" s="15"/>
      <c r="N59" s="15"/>
      <c r="P59" s="15"/>
      <c r="R59" s="15"/>
      <c r="S59" s="22">
        <v>150</v>
      </c>
      <c r="T59" s="10"/>
      <c r="U59" s="11"/>
      <c r="V59" s="15"/>
      <c r="W59" s="11"/>
      <c r="X59" s="15"/>
      <c r="Y59" s="11"/>
      <c r="Z59" s="10"/>
      <c r="AA59" s="11"/>
      <c r="AC59" s="11"/>
      <c r="AH59" s="10"/>
      <c r="AI59" s="65"/>
      <c r="AJ59" s="10"/>
      <c r="AK59" s="11"/>
      <c r="AL59" s="10"/>
      <c r="AM59" s="65"/>
      <c r="AN59" s="10"/>
      <c r="AO59" s="11"/>
      <c r="AP59" s="10"/>
      <c r="AQ59" s="11"/>
      <c r="AR59" s="5"/>
      <c r="AS59" s="31">
        <f t="shared" si="7"/>
        <v>150</v>
      </c>
      <c r="AT59" s="31">
        <f t="shared" si="8"/>
        <v>150</v>
      </c>
      <c r="AU59" s="31">
        <f t="shared" si="9"/>
        <v>0</v>
      </c>
      <c r="AV59" s="7">
        <f t="shared" si="3"/>
        <v>46521.59</v>
      </c>
      <c r="AW59" s="7">
        <f t="shared" si="4"/>
        <v>193278.51</v>
      </c>
    </row>
    <row r="60" spans="1:49" ht="12.75">
      <c r="A60" s="93" t="s">
        <v>117</v>
      </c>
      <c r="B60" s="101">
        <v>41807</v>
      </c>
      <c r="C60" s="102">
        <v>42</v>
      </c>
      <c r="D60" s="7"/>
      <c r="E60" s="11"/>
      <c r="F60" s="15"/>
      <c r="G60" s="64"/>
      <c r="H60" s="15">
        <v>150</v>
      </c>
      <c r="I60" s="22"/>
      <c r="J60" s="15"/>
      <c r="L60" s="15"/>
      <c r="N60" s="15"/>
      <c r="P60" s="15"/>
      <c r="R60" s="15"/>
      <c r="S60" s="22">
        <v>150</v>
      </c>
      <c r="T60" s="10"/>
      <c r="U60" s="11"/>
      <c r="V60" s="15"/>
      <c r="W60" s="11"/>
      <c r="X60" s="15"/>
      <c r="Y60" s="11"/>
      <c r="Z60" s="10"/>
      <c r="AA60" s="11"/>
      <c r="AC60" s="11"/>
      <c r="AH60" s="10"/>
      <c r="AI60" s="65"/>
      <c r="AJ60" s="10"/>
      <c r="AK60" s="11"/>
      <c r="AL60" s="10"/>
      <c r="AM60" s="65"/>
      <c r="AN60" s="10"/>
      <c r="AO60" s="11"/>
      <c r="AP60" s="10"/>
      <c r="AQ60" s="11"/>
      <c r="AR60" s="5"/>
      <c r="AS60" s="31">
        <f t="shared" si="7"/>
        <v>150</v>
      </c>
      <c r="AT60" s="31">
        <f t="shared" si="8"/>
        <v>150</v>
      </c>
      <c r="AU60" s="31">
        <f t="shared" si="9"/>
        <v>0</v>
      </c>
      <c r="AV60" s="7">
        <f t="shared" si="3"/>
        <v>46521.59</v>
      </c>
      <c r="AW60" s="7">
        <f t="shared" si="4"/>
        <v>193428.51</v>
      </c>
    </row>
    <row r="61" spans="1:49" ht="12.75">
      <c r="A61" s="92" t="s">
        <v>118</v>
      </c>
      <c r="B61" s="101">
        <v>41810</v>
      </c>
      <c r="C61" s="102">
        <v>43</v>
      </c>
      <c r="D61" s="7"/>
      <c r="E61" s="11"/>
      <c r="F61" s="15"/>
      <c r="G61" s="64"/>
      <c r="H61" s="15">
        <v>400</v>
      </c>
      <c r="I61" s="22"/>
      <c r="J61" s="15"/>
      <c r="L61" s="15"/>
      <c r="N61" s="15"/>
      <c r="P61" s="15"/>
      <c r="R61" s="15"/>
      <c r="T61" s="10"/>
      <c r="U61" s="11">
        <v>400</v>
      </c>
      <c r="V61" s="15"/>
      <c r="W61" s="11"/>
      <c r="X61" s="15"/>
      <c r="Y61" s="11"/>
      <c r="Z61" s="10"/>
      <c r="AA61" s="11"/>
      <c r="AC61" s="11"/>
      <c r="AH61" s="10"/>
      <c r="AI61" s="65"/>
      <c r="AJ61" s="10"/>
      <c r="AK61" s="11"/>
      <c r="AL61" s="10"/>
      <c r="AM61" s="65"/>
      <c r="AN61" s="10"/>
      <c r="AO61" s="11"/>
      <c r="AP61" s="10"/>
      <c r="AQ61" s="11"/>
      <c r="AR61" s="5"/>
      <c r="AS61" s="31">
        <f>D61+F61+H61+J61+L61+N61+P61+R61+T61+V61+X61+Z61+AB61+AD61+AF61+AH61+AJ61+AL61+AN61+AP61</f>
        <v>400</v>
      </c>
      <c r="AT61" s="31">
        <f>E61+G61+I61+K61+M61+O61+Q61+S61+U61+W61+Y61+AA61+AC61+AE61+AG61+AI61+AK61+AM61+AO61+AQ61</f>
        <v>400</v>
      </c>
      <c r="AU61" s="31">
        <f>AS61-AT61</f>
        <v>0</v>
      </c>
      <c r="AV61" s="7">
        <f t="shared" si="3"/>
        <v>46521.59</v>
      </c>
      <c r="AW61" s="7">
        <f t="shared" si="4"/>
        <v>193828.51</v>
      </c>
    </row>
    <row r="62" spans="1:49" ht="12.75">
      <c r="A62" s="96" t="s">
        <v>120</v>
      </c>
      <c r="B62" s="101">
        <v>41813</v>
      </c>
      <c r="C62" s="102">
        <v>44</v>
      </c>
      <c r="D62" s="7"/>
      <c r="E62" s="11"/>
      <c r="F62" s="15"/>
      <c r="G62" s="64"/>
      <c r="H62" s="15"/>
      <c r="I62" s="22">
        <v>10700</v>
      </c>
      <c r="J62" s="15"/>
      <c r="L62" s="15"/>
      <c r="N62" s="15"/>
      <c r="P62" s="15"/>
      <c r="R62" s="15">
        <v>10700</v>
      </c>
      <c r="T62" s="10"/>
      <c r="U62" s="11"/>
      <c r="V62" s="15"/>
      <c r="W62" s="11"/>
      <c r="X62" s="15"/>
      <c r="Y62" s="11"/>
      <c r="Z62" s="10"/>
      <c r="AA62" s="11"/>
      <c r="AC62" s="11"/>
      <c r="AH62" s="10"/>
      <c r="AI62" s="65"/>
      <c r="AJ62" s="10"/>
      <c r="AK62" s="11"/>
      <c r="AL62" s="10"/>
      <c r="AM62" s="65"/>
      <c r="AN62" s="10"/>
      <c r="AO62" s="11"/>
      <c r="AP62" s="10"/>
      <c r="AQ62" s="11"/>
      <c r="AR62" s="5"/>
      <c r="AS62" s="31">
        <f>D62+F62+H62+J62+L62+N62+P62+R62+T62+V62+X62+Z62+AB62+AD62+AF62+AH62+AJ62+AL62+AN62+AP62</f>
        <v>10700</v>
      </c>
      <c r="AT62" s="31">
        <f>E62+G62+I62+K62+M62+O62+Q62+S62+U62+W62+Y62+AA62+AC62+AE62+AG62+AI62+AK62+AM62+AO62+AQ62</f>
        <v>10700</v>
      </c>
      <c r="AU62" s="31">
        <f>AS62-AT62</f>
        <v>0</v>
      </c>
      <c r="AV62" s="7">
        <f t="shared" si="3"/>
        <v>46521.59</v>
      </c>
      <c r="AW62" s="7">
        <f t="shared" si="4"/>
        <v>183128.51</v>
      </c>
    </row>
    <row r="63" spans="1:49" ht="12.75">
      <c r="A63" s="93" t="s">
        <v>119</v>
      </c>
      <c r="B63" s="101">
        <v>41813</v>
      </c>
      <c r="C63" s="102">
        <v>45</v>
      </c>
      <c r="D63" s="7"/>
      <c r="E63" s="11"/>
      <c r="F63" s="15"/>
      <c r="G63" s="64"/>
      <c r="H63" s="15">
        <v>150</v>
      </c>
      <c r="I63" s="22"/>
      <c r="J63" s="15"/>
      <c r="L63" s="15"/>
      <c r="N63" s="15"/>
      <c r="P63" s="15"/>
      <c r="R63" s="15"/>
      <c r="S63" s="22">
        <v>150</v>
      </c>
      <c r="T63" s="10"/>
      <c r="U63" s="11"/>
      <c r="V63" s="15"/>
      <c r="W63" s="11"/>
      <c r="X63" s="15"/>
      <c r="Y63" s="11"/>
      <c r="Z63" s="10"/>
      <c r="AA63" s="11"/>
      <c r="AC63" s="11"/>
      <c r="AH63" s="10"/>
      <c r="AI63" s="65"/>
      <c r="AJ63" s="10"/>
      <c r="AK63" s="11"/>
      <c r="AL63" s="10"/>
      <c r="AM63" s="65"/>
      <c r="AN63" s="10"/>
      <c r="AO63" s="11"/>
      <c r="AP63" s="10"/>
      <c r="AQ63" s="11"/>
      <c r="AR63" s="5"/>
      <c r="AS63" s="31">
        <f t="shared" si="7"/>
        <v>150</v>
      </c>
      <c r="AT63" s="31">
        <f t="shared" si="8"/>
        <v>150</v>
      </c>
      <c r="AU63" s="31">
        <f t="shared" si="9"/>
        <v>0</v>
      </c>
      <c r="AV63" s="7">
        <f t="shared" si="3"/>
        <v>46521.59</v>
      </c>
      <c r="AW63" s="7">
        <f t="shared" si="4"/>
        <v>183278.51</v>
      </c>
    </row>
    <row r="64" spans="1:49" ht="12.75">
      <c r="A64" s="92" t="s">
        <v>121</v>
      </c>
      <c r="B64" s="101">
        <v>41814</v>
      </c>
      <c r="C64" s="102">
        <v>46</v>
      </c>
      <c r="D64" s="7"/>
      <c r="E64" s="11"/>
      <c r="F64" s="15"/>
      <c r="G64" s="64"/>
      <c r="H64" s="15">
        <v>300</v>
      </c>
      <c r="I64" s="22"/>
      <c r="J64" s="15"/>
      <c r="L64" s="15"/>
      <c r="N64" s="15"/>
      <c r="P64" s="15"/>
      <c r="R64" s="15"/>
      <c r="T64" s="10"/>
      <c r="U64" s="11">
        <v>300</v>
      </c>
      <c r="V64" s="15"/>
      <c r="W64" s="11"/>
      <c r="X64" s="15"/>
      <c r="Y64" s="11"/>
      <c r="Z64" s="10"/>
      <c r="AA64" s="11"/>
      <c r="AC64" s="11"/>
      <c r="AH64" s="10"/>
      <c r="AI64" s="65"/>
      <c r="AJ64" s="10"/>
      <c r="AK64" s="11"/>
      <c r="AL64" s="10"/>
      <c r="AM64" s="65"/>
      <c r="AN64" s="10"/>
      <c r="AO64" s="11"/>
      <c r="AP64" s="10"/>
      <c r="AQ64" s="11"/>
      <c r="AR64" s="5"/>
      <c r="AS64" s="31">
        <f aca="true" t="shared" si="10" ref="AS64:AT71">D64+F64+H64+J64+L64+N64+P64+R64+T64+V64+X64+Z64+AB64+AD64+AF64+AH64+AJ64+AL64+AN64+AP64</f>
        <v>300</v>
      </c>
      <c r="AT64" s="31">
        <f t="shared" si="10"/>
        <v>300</v>
      </c>
      <c r="AU64" s="31">
        <f aca="true" t="shared" si="11" ref="AU64:AU73">AS64-AT64</f>
        <v>0</v>
      </c>
      <c r="AV64" s="7">
        <f t="shared" si="3"/>
        <v>46521.59</v>
      </c>
      <c r="AW64" s="7">
        <f t="shared" si="4"/>
        <v>183578.51</v>
      </c>
    </row>
    <row r="65" spans="1:49" ht="12.75">
      <c r="A65" s="96" t="s">
        <v>122</v>
      </c>
      <c r="B65" s="101">
        <v>41815</v>
      </c>
      <c r="C65" s="102">
        <v>47</v>
      </c>
      <c r="D65" s="7"/>
      <c r="E65" s="11"/>
      <c r="F65" s="15"/>
      <c r="G65" s="64"/>
      <c r="H65" s="15">
        <v>27625</v>
      </c>
      <c r="I65" s="22"/>
      <c r="J65" s="15"/>
      <c r="L65" s="15"/>
      <c r="N65" s="15"/>
      <c r="P65" s="15"/>
      <c r="Q65" s="22">
        <v>27625</v>
      </c>
      <c r="R65" s="15"/>
      <c r="T65" s="10"/>
      <c r="U65" s="11"/>
      <c r="V65" s="15"/>
      <c r="W65" s="11"/>
      <c r="X65" s="15"/>
      <c r="Y65" s="11"/>
      <c r="Z65" s="10"/>
      <c r="AA65" s="11"/>
      <c r="AC65" s="11"/>
      <c r="AH65" s="10"/>
      <c r="AI65" s="65"/>
      <c r="AJ65" s="10"/>
      <c r="AK65" s="11"/>
      <c r="AL65" s="10"/>
      <c r="AM65" s="65"/>
      <c r="AN65" s="10"/>
      <c r="AO65" s="11"/>
      <c r="AP65" s="10"/>
      <c r="AQ65" s="11"/>
      <c r="AR65" s="5"/>
      <c r="AS65" s="31">
        <f t="shared" si="10"/>
        <v>27625</v>
      </c>
      <c r="AT65" s="31">
        <f t="shared" si="10"/>
        <v>27625</v>
      </c>
      <c r="AU65" s="31">
        <f t="shared" si="11"/>
        <v>0</v>
      </c>
      <c r="AV65" s="7">
        <f t="shared" si="3"/>
        <v>46521.59</v>
      </c>
      <c r="AW65" s="7">
        <f t="shared" si="4"/>
        <v>211203.51</v>
      </c>
    </row>
    <row r="66" spans="1:49" ht="12.75">
      <c r="A66" s="96" t="s">
        <v>59</v>
      </c>
      <c r="B66" s="101">
        <v>41820</v>
      </c>
      <c r="C66" s="102">
        <v>48</v>
      </c>
      <c r="D66" s="7"/>
      <c r="E66" s="11"/>
      <c r="F66" s="15"/>
      <c r="G66" s="64"/>
      <c r="H66" s="15"/>
      <c r="I66" s="22">
        <v>36</v>
      </c>
      <c r="J66" s="15"/>
      <c r="L66" s="15"/>
      <c r="N66" s="15"/>
      <c r="P66" s="15"/>
      <c r="R66" s="15"/>
      <c r="T66" s="10"/>
      <c r="U66" s="11"/>
      <c r="V66" s="15"/>
      <c r="W66" s="11"/>
      <c r="X66" s="15">
        <v>36</v>
      </c>
      <c r="Y66" s="11"/>
      <c r="Z66" s="10"/>
      <c r="AA66" s="11"/>
      <c r="AC66" s="11"/>
      <c r="AH66" s="10"/>
      <c r="AI66" s="65"/>
      <c r="AJ66" s="10"/>
      <c r="AK66" s="11"/>
      <c r="AL66" s="10"/>
      <c r="AM66" s="65"/>
      <c r="AN66" s="10"/>
      <c r="AO66" s="11"/>
      <c r="AP66" s="10"/>
      <c r="AQ66" s="11"/>
      <c r="AR66" s="5"/>
      <c r="AS66" s="31">
        <f t="shared" si="10"/>
        <v>36</v>
      </c>
      <c r="AT66" s="31">
        <f t="shared" si="10"/>
        <v>36</v>
      </c>
      <c r="AU66" s="31">
        <f t="shared" si="11"/>
        <v>0</v>
      </c>
      <c r="AV66" s="7">
        <f t="shared" si="3"/>
        <v>46521.59</v>
      </c>
      <c r="AW66" s="71">
        <f t="shared" si="4"/>
        <v>211167.51</v>
      </c>
    </row>
    <row r="67" spans="1:49" ht="12.75">
      <c r="A67" s="92" t="s">
        <v>135</v>
      </c>
      <c r="B67" s="101">
        <v>41908</v>
      </c>
      <c r="C67" s="102">
        <v>49</v>
      </c>
      <c r="D67" s="7"/>
      <c r="E67" s="11"/>
      <c r="F67" s="15"/>
      <c r="G67" s="64"/>
      <c r="H67" s="15">
        <v>300</v>
      </c>
      <c r="I67" s="22"/>
      <c r="J67" s="15"/>
      <c r="L67" s="15"/>
      <c r="N67" s="15"/>
      <c r="P67" s="15"/>
      <c r="R67" s="15"/>
      <c r="T67" s="10"/>
      <c r="U67" s="11">
        <v>300</v>
      </c>
      <c r="V67" s="15"/>
      <c r="W67" s="11"/>
      <c r="X67" s="15"/>
      <c r="Y67" s="11"/>
      <c r="Z67" s="10"/>
      <c r="AA67" s="11"/>
      <c r="AC67" s="11"/>
      <c r="AH67" s="10"/>
      <c r="AI67" s="65"/>
      <c r="AJ67" s="10"/>
      <c r="AK67" s="11"/>
      <c r="AL67" s="10"/>
      <c r="AM67" s="65"/>
      <c r="AN67" s="10"/>
      <c r="AO67" s="11"/>
      <c r="AP67" s="10"/>
      <c r="AQ67" s="11"/>
      <c r="AR67" s="5"/>
      <c r="AS67" s="31">
        <f>D67+F67+H67+J67+L67+N67+P67+R67+T67+V67+X67+Z67+AB67+AD67+AF67+AH67+AJ67+AL67+AN67+AP67</f>
        <v>300</v>
      </c>
      <c r="AT67" s="31">
        <f>E67+G67+I67+K67+M67+O67+Q67+S67+U67+W67+Y67+AA67+AC67+AE67+AG67+AI67+AK67+AM67+AO67+AQ67</f>
        <v>300</v>
      </c>
      <c r="AU67" s="31">
        <f>AS67-AT67</f>
        <v>0</v>
      </c>
      <c r="AV67" s="7">
        <f t="shared" si="3"/>
        <v>46521.59</v>
      </c>
      <c r="AW67" s="7">
        <f t="shared" si="4"/>
        <v>211467.51</v>
      </c>
    </row>
    <row r="68" spans="1:49" ht="12.75">
      <c r="A68" s="93" t="s">
        <v>125</v>
      </c>
      <c r="B68" s="101">
        <v>41884</v>
      </c>
      <c r="C68" s="102">
        <v>49</v>
      </c>
      <c r="D68" s="7"/>
      <c r="E68" s="11"/>
      <c r="F68" s="15"/>
      <c r="G68" s="64"/>
      <c r="H68" s="94">
        <v>150</v>
      </c>
      <c r="I68" s="22"/>
      <c r="J68" s="15"/>
      <c r="L68" s="15"/>
      <c r="N68" s="15"/>
      <c r="P68" s="15"/>
      <c r="R68" s="15"/>
      <c r="S68" s="22">
        <v>150</v>
      </c>
      <c r="T68" s="10"/>
      <c r="U68" s="11"/>
      <c r="V68" s="15"/>
      <c r="W68" s="11"/>
      <c r="X68" s="15"/>
      <c r="Y68" s="11"/>
      <c r="Z68" s="10"/>
      <c r="AA68" s="11"/>
      <c r="AC68" s="11"/>
      <c r="AH68" s="10"/>
      <c r="AI68" s="65"/>
      <c r="AJ68" s="10"/>
      <c r="AK68" s="11"/>
      <c r="AL68" s="10"/>
      <c r="AM68" s="65"/>
      <c r="AN68" s="10"/>
      <c r="AO68" s="11"/>
      <c r="AP68" s="10"/>
      <c r="AQ68" s="11"/>
      <c r="AR68" s="5"/>
      <c r="AS68" s="31">
        <f t="shared" si="10"/>
        <v>150</v>
      </c>
      <c r="AT68" s="31">
        <f t="shared" si="10"/>
        <v>150</v>
      </c>
      <c r="AU68" s="31">
        <f t="shared" si="11"/>
        <v>0</v>
      </c>
      <c r="AV68" s="7">
        <f t="shared" si="3"/>
        <v>46521.59</v>
      </c>
      <c r="AW68" s="7">
        <f t="shared" si="4"/>
        <v>211617.51</v>
      </c>
    </row>
    <row r="69" spans="1:49" ht="12.75">
      <c r="A69" s="92" t="s">
        <v>136</v>
      </c>
      <c r="B69" s="101">
        <v>41908</v>
      </c>
      <c r="C69" s="102">
        <v>49</v>
      </c>
      <c r="D69" s="7"/>
      <c r="E69" s="11"/>
      <c r="F69" s="15"/>
      <c r="G69" s="64"/>
      <c r="H69" s="15">
        <v>400</v>
      </c>
      <c r="I69" s="22"/>
      <c r="J69" s="15"/>
      <c r="L69" s="15"/>
      <c r="N69" s="15"/>
      <c r="P69" s="15"/>
      <c r="R69" s="15"/>
      <c r="T69" s="10"/>
      <c r="U69" s="11">
        <v>400</v>
      </c>
      <c r="V69" s="15"/>
      <c r="W69" s="11"/>
      <c r="X69" s="15"/>
      <c r="Y69" s="11"/>
      <c r="Z69" s="10"/>
      <c r="AA69" s="11"/>
      <c r="AC69" s="11"/>
      <c r="AH69" s="10"/>
      <c r="AI69" s="65"/>
      <c r="AJ69" s="10"/>
      <c r="AK69" s="11"/>
      <c r="AL69" s="10"/>
      <c r="AM69" s="65"/>
      <c r="AN69" s="10"/>
      <c r="AO69" s="11"/>
      <c r="AP69" s="10"/>
      <c r="AQ69" s="11"/>
      <c r="AR69" s="5"/>
      <c r="AS69" s="31">
        <f>D69+F69+H69+J69+L69+N69+P69+R69+T69+V69+X69+Z69+AB69+AD69+AF69+AH69+AJ69+AL69+AN69+AP69</f>
        <v>400</v>
      </c>
      <c r="AT69" s="31">
        <f>E69+G69+I69+K69+M69+O69+Q69+S69+U69+W69+Y69+AA69+AC69+AE69+AG69+AI69+AK69+AM69+AO69+AQ69</f>
        <v>400</v>
      </c>
      <c r="AU69" s="31">
        <f>AS69-AT69</f>
        <v>0</v>
      </c>
      <c r="AV69" s="7">
        <f t="shared" si="3"/>
        <v>46521.59</v>
      </c>
      <c r="AW69" s="7">
        <f t="shared" si="4"/>
        <v>212017.51</v>
      </c>
    </row>
    <row r="70" spans="1:49" ht="12.75">
      <c r="A70" s="96" t="s">
        <v>130</v>
      </c>
      <c r="B70" s="101">
        <v>41908</v>
      </c>
      <c r="C70" s="102">
        <v>50</v>
      </c>
      <c r="D70" s="7"/>
      <c r="E70" s="11"/>
      <c r="F70" s="15"/>
      <c r="G70" s="64"/>
      <c r="H70" s="15"/>
      <c r="I70" s="22">
        <v>481</v>
      </c>
      <c r="J70" s="15"/>
      <c r="L70" s="15"/>
      <c r="N70" s="15"/>
      <c r="P70" s="15"/>
      <c r="R70" s="15"/>
      <c r="T70" s="10"/>
      <c r="U70" s="11"/>
      <c r="V70" s="15"/>
      <c r="W70" s="11"/>
      <c r="X70" s="15">
        <v>481</v>
      </c>
      <c r="Y70" s="11"/>
      <c r="Z70" s="10"/>
      <c r="AA70" s="11"/>
      <c r="AC70" s="11"/>
      <c r="AH70" s="10"/>
      <c r="AI70" s="65"/>
      <c r="AJ70" s="10"/>
      <c r="AK70" s="11"/>
      <c r="AL70" s="10"/>
      <c r="AM70" s="65"/>
      <c r="AN70" s="10"/>
      <c r="AO70" s="11"/>
      <c r="AP70" s="10"/>
      <c r="AQ70" s="11"/>
      <c r="AR70" s="5"/>
      <c r="AS70" s="31">
        <f>D70+F70+H70+J70+L70+N70+P70+R70+T70+V70+X70+Z70+AB70+AD70+AF70+AH70+AJ70+AL70+AN70+AP70</f>
        <v>481</v>
      </c>
      <c r="AT70" s="31">
        <f>E70+G70+I70+K70+M70+O70+Q70+S70+U70+W70+Y70+AA70+AC70+AE70+AG70+AI70+AK70+AM70+AO70+AQ70</f>
        <v>481</v>
      </c>
      <c r="AU70" s="31">
        <f>AS70-AT70</f>
        <v>0</v>
      </c>
      <c r="AV70" s="7">
        <f aca="true" t="shared" si="12" ref="AV70:AV111">AV69+(F70+J70-G70-K70)</f>
        <v>46521.59</v>
      </c>
      <c r="AW70" s="7">
        <f aca="true" t="shared" si="13" ref="AW70:AW94">AW69+(H70+L70-I70-M70)</f>
        <v>211536.51</v>
      </c>
    </row>
    <row r="71" spans="1:49" ht="12.75">
      <c r="A71" s="96" t="s">
        <v>126</v>
      </c>
      <c r="B71" s="101">
        <v>41909</v>
      </c>
      <c r="C71" s="102">
        <v>51</v>
      </c>
      <c r="D71" s="7"/>
      <c r="E71" s="11"/>
      <c r="F71" s="15"/>
      <c r="G71" s="64"/>
      <c r="H71" s="15"/>
      <c r="I71" s="22">
        <v>666.6</v>
      </c>
      <c r="J71" s="15"/>
      <c r="L71" s="15"/>
      <c r="N71" s="15"/>
      <c r="P71" s="15"/>
      <c r="R71" s="15"/>
      <c r="T71" s="10"/>
      <c r="U71" s="11"/>
      <c r="V71" s="15"/>
      <c r="W71" s="11"/>
      <c r="X71" s="15"/>
      <c r="Y71" s="11"/>
      <c r="Z71" s="10"/>
      <c r="AA71" s="11"/>
      <c r="AC71" s="11"/>
      <c r="AH71" s="10">
        <v>260</v>
      </c>
      <c r="AI71" s="65"/>
      <c r="AJ71" s="10">
        <f>301+105.6</f>
        <v>406.6</v>
      </c>
      <c r="AK71" s="11"/>
      <c r="AL71" s="10"/>
      <c r="AM71" s="65"/>
      <c r="AN71" s="10"/>
      <c r="AO71" s="11"/>
      <c r="AP71" s="10"/>
      <c r="AQ71" s="11"/>
      <c r="AR71" s="5"/>
      <c r="AS71" s="31">
        <f t="shared" si="10"/>
        <v>666.6</v>
      </c>
      <c r="AT71" s="31">
        <f t="shared" si="10"/>
        <v>666.6</v>
      </c>
      <c r="AU71" s="31">
        <f t="shared" si="11"/>
        <v>0</v>
      </c>
      <c r="AV71" s="7">
        <f t="shared" si="12"/>
        <v>46521.59</v>
      </c>
      <c r="AW71" s="7">
        <f t="shared" si="13"/>
        <v>210869.91</v>
      </c>
    </row>
    <row r="72" spans="1:49" ht="12.75">
      <c r="A72" s="96" t="s">
        <v>127</v>
      </c>
      <c r="B72" s="101">
        <v>41909</v>
      </c>
      <c r="C72" s="102">
        <v>52</v>
      </c>
      <c r="D72" s="7"/>
      <c r="E72" s="11"/>
      <c r="F72" s="15"/>
      <c r="G72" s="64"/>
      <c r="H72" s="15"/>
      <c r="I72" s="22">
        <v>2125</v>
      </c>
      <c r="J72" s="15"/>
      <c r="L72" s="15"/>
      <c r="N72" s="15"/>
      <c r="P72" s="15"/>
      <c r="R72" s="15">
        <v>2125</v>
      </c>
      <c r="T72" s="10"/>
      <c r="U72" s="11"/>
      <c r="V72" s="15"/>
      <c r="W72" s="11"/>
      <c r="X72" s="15"/>
      <c r="Y72" s="11"/>
      <c r="Z72" s="10"/>
      <c r="AA72" s="11"/>
      <c r="AC72" s="11"/>
      <c r="AH72" s="10"/>
      <c r="AI72" s="65"/>
      <c r="AJ72" s="10"/>
      <c r="AK72" s="11"/>
      <c r="AL72" s="10"/>
      <c r="AM72" s="65"/>
      <c r="AN72" s="10"/>
      <c r="AO72" s="11"/>
      <c r="AP72" s="10"/>
      <c r="AQ72" s="11"/>
      <c r="AR72" s="5"/>
      <c r="AS72" s="31">
        <f aca="true" t="shared" si="14" ref="AS72:AT87">D72+F72+H72+J72+L72+N72+P72+R72+T72+V72+X72+Z72+AB72+AD72+AF72+AH72+AJ72+AL72+AN72+AP72</f>
        <v>2125</v>
      </c>
      <c r="AT72" s="31">
        <f t="shared" si="14"/>
        <v>2125</v>
      </c>
      <c r="AU72" s="31">
        <f t="shared" si="11"/>
        <v>0</v>
      </c>
      <c r="AV72" s="7">
        <f t="shared" si="12"/>
        <v>46521.59</v>
      </c>
      <c r="AW72" s="7">
        <f t="shared" si="13"/>
        <v>208744.91</v>
      </c>
    </row>
    <row r="73" spans="1:49" ht="12.75">
      <c r="A73" s="96" t="s">
        <v>129</v>
      </c>
      <c r="B73" s="101">
        <v>41909</v>
      </c>
      <c r="C73" s="102">
        <v>53</v>
      </c>
      <c r="D73" s="7"/>
      <c r="E73" s="11"/>
      <c r="F73" s="15"/>
      <c r="G73" s="64"/>
      <c r="H73" s="15"/>
      <c r="I73" s="22">
        <v>6188</v>
      </c>
      <c r="J73" s="15"/>
      <c r="L73" s="15"/>
      <c r="N73" s="15"/>
      <c r="P73" s="15"/>
      <c r="R73" s="15">
        <v>3478</v>
      </c>
      <c r="T73" s="10"/>
      <c r="U73" s="11"/>
      <c r="V73" s="15"/>
      <c r="W73" s="11"/>
      <c r="X73" s="15">
        <v>1010</v>
      </c>
      <c r="Y73" s="11"/>
      <c r="Z73" s="10"/>
      <c r="AA73" s="11"/>
      <c r="AC73" s="11"/>
      <c r="AH73" s="10"/>
      <c r="AI73" s="65"/>
      <c r="AJ73" s="10">
        <v>1700</v>
      </c>
      <c r="AK73" s="11"/>
      <c r="AL73" s="10"/>
      <c r="AM73" s="65"/>
      <c r="AN73" s="10"/>
      <c r="AO73" s="11"/>
      <c r="AP73" s="10"/>
      <c r="AQ73" s="11"/>
      <c r="AR73" s="5" t="s">
        <v>128</v>
      </c>
      <c r="AS73" s="31">
        <f t="shared" si="14"/>
        <v>6188</v>
      </c>
      <c r="AT73" s="31">
        <f t="shared" si="14"/>
        <v>6188</v>
      </c>
      <c r="AU73" s="31">
        <f t="shared" si="11"/>
        <v>0</v>
      </c>
      <c r="AV73" s="7">
        <f t="shared" si="12"/>
        <v>46521.59</v>
      </c>
      <c r="AW73" s="7">
        <f t="shared" si="13"/>
        <v>202556.91</v>
      </c>
    </row>
    <row r="74" spans="1:49" ht="12.75">
      <c r="A74" s="96" t="s">
        <v>131</v>
      </c>
      <c r="B74" s="101">
        <v>41909</v>
      </c>
      <c r="C74" s="102">
        <v>54</v>
      </c>
      <c r="D74" s="7"/>
      <c r="E74" s="11"/>
      <c r="F74" s="15"/>
      <c r="G74" s="64"/>
      <c r="H74" s="15"/>
      <c r="I74" s="22">
        <v>188</v>
      </c>
      <c r="J74" s="15"/>
      <c r="L74" s="15"/>
      <c r="N74" s="15"/>
      <c r="P74" s="15"/>
      <c r="R74" s="15"/>
      <c r="T74" s="10"/>
      <c r="U74" s="11"/>
      <c r="V74" s="15">
        <v>188</v>
      </c>
      <c r="W74" s="11"/>
      <c r="X74" s="15"/>
      <c r="Y74" s="11"/>
      <c r="Z74" s="10"/>
      <c r="AA74" s="11"/>
      <c r="AC74" s="11"/>
      <c r="AH74" s="10"/>
      <c r="AI74" s="65"/>
      <c r="AJ74" s="10"/>
      <c r="AK74" s="11"/>
      <c r="AL74" s="10"/>
      <c r="AM74" s="65"/>
      <c r="AN74" s="10"/>
      <c r="AO74" s="11"/>
      <c r="AP74" s="10"/>
      <c r="AQ74" s="11"/>
      <c r="AR74" s="5"/>
      <c r="AS74" s="31">
        <f t="shared" si="14"/>
        <v>188</v>
      </c>
      <c r="AT74" s="31">
        <f t="shared" si="14"/>
        <v>188</v>
      </c>
      <c r="AU74" s="31">
        <f>AS74-AT74</f>
        <v>0</v>
      </c>
      <c r="AV74" s="7">
        <f t="shared" si="12"/>
        <v>46521.59</v>
      </c>
      <c r="AW74" s="7">
        <f t="shared" si="13"/>
        <v>202368.91</v>
      </c>
    </row>
    <row r="75" spans="1:49" ht="12.75">
      <c r="A75" s="96" t="s">
        <v>59</v>
      </c>
      <c r="B75" s="101">
        <v>41912</v>
      </c>
      <c r="C75" s="102">
        <v>55</v>
      </c>
      <c r="D75" s="7"/>
      <c r="E75" s="11"/>
      <c r="F75" s="15"/>
      <c r="G75" s="64"/>
      <c r="H75" s="15"/>
      <c r="I75" s="22">
        <v>12</v>
      </c>
      <c r="J75" s="15"/>
      <c r="L75" s="15"/>
      <c r="N75" s="15"/>
      <c r="P75" s="15"/>
      <c r="R75" s="15"/>
      <c r="T75" s="10"/>
      <c r="U75" s="11"/>
      <c r="V75" s="15"/>
      <c r="W75" s="11"/>
      <c r="X75" s="15">
        <v>12</v>
      </c>
      <c r="Y75" s="11"/>
      <c r="Z75" s="10"/>
      <c r="AA75" s="11"/>
      <c r="AC75" s="11"/>
      <c r="AH75" s="10"/>
      <c r="AI75" s="65"/>
      <c r="AJ75" s="10"/>
      <c r="AK75" s="11"/>
      <c r="AL75" s="10"/>
      <c r="AM75" s="65"/>
      <c r="AN75" s="10"/>
      <c r="AO75" s="11"/>
      <c r="AP75" s="10"/>
      <c r="AQ75" s="11"/>
      <c r="AR75" s="5"/>
      <c r="AS75" s="31">
        <f t="shared" si="14"/>
        <v>12</v>
      </c>
      <c r="AT75" s="31">
        <f t="shared" si="14"/>
        <v>12</v>
      </c>
      <c r="AU75" s="31">
        <f>AS75-AT75</f>
        <v>0</v>
      </c>
      <c r="AV75" s="7">
        <f t="shared" si="12"/>
        <v>46521.59</v>
      </c>
      <c r="AW75" s="71">
        <f t="shared" si="13"/>
        <v>202356.91</v>
      </c>
    </row>
    <row r="76" spans="1:49" ht="12.75">
      <c r="A76" s="93" t="s">
        <v>138</v>
      </c>
      <c r="B76" s="101">
        <v>41913</v>
      </c>
      <c r="C76" s="102">
        <v>56</v>
      </c>
      <c r="D76" s="7"/>
      <c r="E76" s="11"/>
      <c r="F76" s="15"/>
      <c r="G76" s="64"/>
      <c r="H76" s="15">
        <v>150</v>
      </c>
      <c r="I76" s="22"/>
      <c r="J76" s="15"/>
      <c r="L76" s="15"/>
      <c r="N76" s="15"/>
      <c r="P76" s="15"/>
      <c r="R76" s="15"/>
      <c r="S76" s="22">
        <v>150</v>
      </c>
      <c r="T76" s="10"/>
      <c r="U76" s="11"/>
      <c r="V76" s="15"/>
      <c r="W76" s="11"/>
      <c r="X76" s="15"/>
      <c r="Y76" s="11"/>
      <c r="Z76" s="10"/>
      <c r="AA76" s="11"/>
      <c r="AC76" s="11"/>
      <c r="AH76" s="10"/>
      <c r="AI76" s="65"/>
      <c r="AJ76" s="10"/>
      <c r="AK76" s="11"/>
      <c r="AL76" s="10"/>
      <c r="AM76" s="65"/>
      <c r="AN76" s="10"/>
      <c r="AO76" s="11"/>
      <c r="AP76" s="10"/>
      <c r="AQ76" s="11"/>
      <c r="AR76" s="5"/>
      <c r="AS76" s="31">
        <f t="shared" si="14"/>
        <v>150</v>
      </c>
      <c r="AT76" s="31">
        <f t="shared" si="14"/>
        <v>150</v>
      </c>
      <c r="AU76" s="31">
        <f aca="true" t="shared" si="15" ref="AU76:AU89">AS76-AT76</f>
        <v>0</v>
      </c>
      <c r="AV76" s="7">
        <f t="shared" si="12"/>
        <v>46521.59</v>
      </c>
      <c r="AW76" s="7">
        <f t="shared" si="13"/>
        <v>202506.91</v>
      </c>
    </row>
    <row r="77" spans="1:49" ht="12.75">
      <c r="A77" s="93" t="s">
        <v>139</v>
      </c>
      <c r="B77" s="101">
        <v>41913</v>
      </c>
      <c r="C77" s="102">
        <v>56</v>
      </c>
      <c r="D77" s="7"/>
      <c r="E77" s="11"/>
      <c r="F77" s="15"/>
      <c r="G77" s="64"/>
      <c r="H77" s="15">
        <v>150</v>
      </c>
      <c r="I77" s="22"/>
      <c r="J77" s="15"/>
      <c r="L77" s="15"/>
      <c r="N77" s="15"/>
      <c r="P77" s="15"/>
      <c r="R77" s="15"/>
      <c r="S77" s="22">
        <v>150</v>
      </c>
      <c r="T77" s="10"/>
      <c r="U77" s="11"/>
      <c r="V77" s="15"/>
      <c r="W77" s="11"/>
      <c r="X77" s="15"/>
      <c r="Y77" s="11"/>
      <c r="Z77" s="10"/>
      <c r="AA77" s="11"/>
      <c r="AC77" s="11"/>
      <c r="AH77" s="10"/>
      <c r="AI77" s="65"/>
      <c r="AJ77" s="10"/>
      <c r="AK77" s="11"/>
      <c r="AL77" s="10"/>
      <c r="AM77" s="65"/>
      <c r="AN77" s="10"/>
      <c r="AO77" s="11"/>
      <c r="AP77" s="10"/>
      <c r="AQ77" s="11"/>
      <c r="AR77" s="5"/>
      <c r="AS77" s="31">
        <f t="shared" si="14"/>
        <v>150</v>
      </c>
      <c r="AT77" s="31">
        <f t="shared" si="14"/>
        <v>150</v>
      </c>
      <c r="AU77" s="31">
        <f t="shared" si="15"/>
        <v>0</v>
      </c>
      <c r="AV77" s="7">
        <f t="shared" si="12"/>
        <v>46521.59</v>
      </c>
      <c r="AW77" s="7">
        <f t="shared" si="13"/>
        <v>202656.91</v>
      </c>
    </row>
    <row r="78" spans="1:49" ht="12.75">
      <c r="A78" s="92" t="s">
        <v>152</v>
      </c>
      <c r="B78" s="101">
        <v>41914</v>
      </c>
      <c r="C78" s="102">
        <v>57</v>
      </c>
      <c r="D78" s="7"/>
      <c r="E78" s="11"/>
      <c r="F78" s="15"/>
      <c r="G78" s="64"/>
      <c r="H78" s="15">
        <v>400</v>
      </c>
      <c r="I78" s="22"/>
      <c r="J78" s="15"/>
      <c r="L78" s="15"/>
      <c r="N78" s="15"/>
      <c r="P78" s="15"/>
      <c r="R78" s="15"/>
      <c r="T78" s="10"/>
      <c r="U78" s="11">
        <v>400</v>
      </c>
      <c r="V78" s="15"/>
      <c r="W78" s="11"/>
      <c r="X78" s="15"/>
      <c r="Y78" s="11"/>
      <c r="Z78" s="10"/>
      <c r="AA78" s="11"/>
      <c r="AC78" s="11"/>
      <c r="AH78" s="10"/>
      <c r="AI78" s="65"/>
      <c r="AJ78" s="10"/>
      <c r="AK78" s="11"/>
      <c r="AL78" s="10"/>
      <c r="AM78" s="65"/>
      <c r="AN78" s="10"/>
      <c r="AO78" s="11"/>
      <c r="AP78" s="10"/>
      <c r="AQ78" s="11"/>
      <c r="AR78" s="5"/>
      <c r="AS78" s="31">
        <f t="shared" si="14"/>
        <v>400</v>
      </c>
      <c r="AT78" s="31">
        <f t="shared" si="14"/>
        <v>400</v>
      </c>
      <c r="AU78" s="31">
        <f t="shared" si="15"/>
        <v>0</v>
      </c>
      <c r="AV78" s="7">
        <f t="shared" si="12"/>
        <v>46521.59</v>
      </c>
      <c r="AW78" s="7">
        <f t="shared" si="13"/>
        <v>203056.91</v>
      </c>
    </row>
    <row r="79" spans="1:49" ht="12.75">
      <c r="A79" s="96" t="s">
        <v>137</v>
      </c>
      <c r="B79" s="101">
        <v>41915</v>
      </c>
      <c r="C79" s="102">
        <v>58</v>
      </c>
      <c r="D79" s="7"/>
      <c r="E79" s="11"/>
      <c r="F79" s="15"/>
      <c r="G79" s="64"/>
      <c r="H79" s="15"/>
      <c r="I79" s="22">
        <v>1500</v>
      </c>
      <c r="J79" s="15"/>
      <c r="L79" s="15"/>
      <c r="N79" s="15"/>
      <c r="P79" s="15"/>
      <c r="R79" s="15"/>
      <c r="T79" s="10"/>
      <c r="U79" s="11"/>
      <c r="V79" s="15"/>
      <c r="W79" s="11"/>
      <c r="X79" s="15"/>
      <c r="Y79" s="11"/>
      <c r="Z79" s="10"/>
      <c r="AA79" s="11"/>
      <c r="AC79" s="11"/>
      <c r="AH79" s="10">
        <v>1500</v>
      </c>
      <c r="AI79" s="65"/>
      <c r="AJ79" s="10"/>
      <c r="AK79" s="11"/>
      <c r="AL79" s="10"/>
      <c r="AM79" s="65"/>
      <c r="AN79" s="10"/>
      <c r="AO79" s="11"/>
      <c r="AP79" s="10"/>
      <c r="AQ79" s="11"/>
      <c r="AR79" s="5"/>
      <c r="AS79" s="31">
        <f t="shared" si="14"/>
        <v>1500</v>
      </c>
      <c r="AT79" s="31">
        <f t="shared" si="14"/>
        <v>1500</v>
      </c>
      <c r="AU79" s="31">
        <f t="shared" si="15"/>
        <v>0</v>
      </c>
      <c r="AV79" s="7">
        <f t="shared" si="12"/>
        <v>46521.59</v>
      </c>
      <c r="AW79" s="7">
        <f t="shared" si="13"/>
        <v>201556.91</v>
      </c>
    </row>
    <row r="80" spans="1:49" ht="12.75">
      <c r="A80" s="93" t="s">
        <v>140</v>
      </c>
      <c r="B80" s="101">
        <v>41915</v>
      </c>
      <c r="C80" s="102">
        <v>59</v>
      </c>
      <c r="D80" s="7"/>
      <c r="E80" s="11"/>
      <c r="F80" s="15"/>
      <c r="G80" s="64"/>
      <c r="H80" s="15">
        <v>150</v>
      </c>
      <c r="I80" s="22"/>
      <c r="J80" s="15"/>
      <c r="L80" s="15"/>
      <c r="N80" s="15"/>
      <c r="P80" s="15"/>
      <c r="R80" s="15"/>
      <c r="S80" s="22">
        <v>150</v>
      </c>
      <c r="T80" s="10"/>
      <c r="U80" s="11"/>
      <c r="V80" s="15"/>
      <c r="W80" s="11"/>
      <c r="X80" s="15"/>
      <c r="Y80" s="11"/>
      <c r="Z80" s="10"/>
      <c r="AA80" s="11"/>
      <c r="AC80" s="11"/>
      <c r="AH80" s="10"/>
      <c r="AI80" s="65"/>
      <c r="AJ80" s="10"/>
      <c r="AK80" s="11"/>
      <c r="AL80" s="10"/>
      <c r="AM80" s="65"/>
      <c r="AN80" s="10"/>
      <c r="AO80" s="11"/>
      <c r="AP80" s="10"/>
      <c r="AQ80" s="11"/>
      <c r="AR80" s="5"/>
      <c r="AS80" s="31">
        <f t="shared" si="14"/>
        <v>150</v>
      </c>
      <c r="AT80" s="31">
        <f t="shared" si="14"/>
        <v>150</v>
      </c>
      <c r="AU80" s="31">
        <f t="shared" si="15"/>
        <v>0</v>
      </c>
      <c r="AV80" s="7">
        <f t="shared" si="12"/>
        <v>46521.59</v>
      </c>
      <c r="AW80" s="7">
        <f t="shared" si="13"/>
        <v>201706.91</v>
      </c>
    </row>
    <row r="81" spans="1:49" ht="12.75">
      <c r="A81" s="93" t="s">
        <v>141</v>
      </c>
      <c r="B81" s="101">
        <v>41918</v>
      </c>
      <c r="C81" s="102">
        <v>60</v>
      </c>
      <c r="D81" s="7"/>
      <c r="E81" s="11"/>
      <c r="F81" s="15"/>
      <c r="G81" s="64"/>
      <c r="H81" s="15">
        <v>150</v>
      </c>
      <c r="I81" s="22"/>
      <c r="J81" s="15"/>
      <c r="L81" s="15"/>
      <c r="N81" s="15"/>
      <c r="P81" s="15"/>
      <c r="R81" s="15"/>
      <c r="S81" s="22">
        <v>150</v>
      </c>
      <c r="T81" s="10"/>
      <c r="U81" s="11"/>
      <c r="V81" s="15"/>
      <c r="W81" s="11"/>
      <c r="X81" s="15"/>
      <c r="Y81" s="11"/>
      <c r="Z81" s="10"/>
      <c r="AA81" s="11"/>
      <c r="AC81" s="11"/>
      <c r="AH81" s="10"/>
      <c r="AI81" s="65"/>
      <c r="AJ81" s="10"/>
      <c r="AK81" s="11"/>
      <c r="AL81" s="10"/>
      <c r="AM81" s="65"/>
      <c r="AN81" s="10"/>
      <c r="AO81" s="11"/>
      <c r="AP81" s="10"/>
      <c r="AQ81" s="11"/>
      <c r="AR81" s="5"/>
      <c r="AS81" s="31">
        <f t="shared" si="14"/>
        <v>150</v>
      </c>
      <c r="AT81" s="31">
        <f t="shared" si="14"/>
        <v>150</v>
      </c>
      <c r="AU81" s="31">
        <f t="shared" si="15"/>
        <v>0</v>
      </c>
      <c r="AV81" s="7">
        <f t="shared" si="12"/>
        <v>46521.59</v>
      </c>
      <c r="AW81" s="7">
        <f t="shared" si="13"/>
        <v>201856.91</v>
      </c>
    </row>
    <row r="82" spans="1:49" ht="12.75">
      <c r="A82" s="93" t="s">
        <v>142</v>
      </c>
      <c r="B82" s="101">
        <v>41920</v>
      </c>
      <c r="C82" s="102">
        <v>61</v>
      </c>
      <c r="D82" s="7"/>
      <c r="E82" s="11"/>
      <c r="F82" s="15"/>
      <c r="G82" s="64"/>
      <c r="H82" s="15">
        <v>150</v>
      </c>
      <c r="I82" s="22"/>
      <c r="J82" s="15"/>
      <c r="L82" s="15"/>
      <c r="N82" s="15"/>
      <c r="P82" s="15"/>
      <c r="R82" s="15"/>
      <c r="S82" s="22">
        <v>150</v>
      </c>
      <c r="T82" s="10"/>
      <c r="U82" s="11"/>
      <c r="V82" s="15"/>
      <c r="W82" s="11"/>
      <c r="X82" s="15"/>
      <c r="Y82" s="11"/>
      <c r="Z82" s="10"/>
      <c r="AA82" s="11"/>
      <c r="AC82" s="11"/>
      <c r="AH82" s="10"/>
      <c r="AI82" s="65"/>
      <c r="AJ82" s="10"/>
      <c r="AK82" s="11"/>
      <c r="AL82" s="10"/>
      <c r="AM82" s="65"/>
      <c r="AN82" s="10"/>
      <c r="AO82" s="11"/>
      <c r="AP82" s="10"/>
      <c r="AQ82" s="11"/>
      <c r="AR82" s="5"/>
      <c r="AS82" s="31">
        <f t="shared" si="14"/>
        <v>150</v>
      </c>
      <c r="AT82" s="31">
        <f t="shared" si="14"/>
        <v>150</v>
      </c>
      <c r="AU82" s="31">
        <f t="shared" si="15"/>
        <v>0</v>
      </c>
      <c r="AV82" s="7">
        <f t="shared" si="12"/>
        <v>46521.59</v>
      </c>
      <c r="AW82" s="7">
        <f t="shared" si="13"/>
        <v>202006.91</v>
      </c>
    </row>
    <row r="83" spans="1:49" ht="12.75">
      <c r="A83" s="92" t="s">
        <v>144</v>
      </c>
      <c r="B83" s="101">
        <v>41920</v>
      </c>
      <c r="C83" s="102">
        <v>61</v>
      </c>
      <c r="D83" s="7"/>
      <c r="E83" s="11"/>
      <c r="F83" s="15"/>
      <c r="G83" s="64"/>
      <c r="H83" s="15">
        <v>750</v>
      </c>
      <c r="I83" s="22"/>
      <c r="J83" s="15"/>
      <c r="L83" s="15"/>
      <c r="N83" s="15"/>
      <c r="P83" s="15"/>
      <c r="R83" s="15"/>
      <c r="T83" s="10"/>
      <c r="U83" s="11">
        <v>750</v>
      </c>
      <c r="V83" s="15"/>
      <c r="W83" s="11"/>
      <c r="X83" s="15"/>
      <c r="Y83" s="11"/>
      <c r="Z83" s="10"/>
      <c r="AA83" s="11"/>
      <c r="AC83" s="11"/>
      <c r="AH83" s="10"/>
      <c r="AI83" s="65"/>
      <c r="AJ83" s="10"/>
      <c r="AK83" s="11"/>
      <c r="AL83" s="10"/>
      <c r="AM83" s="65"/>
      <c r="AN83" s="10"/>
      <c r="AO83" s="11"/>
      <c r="AP83" s="10"/>
      <c r="AQ83" s="11"/>
      <c r="AR83" s="5"/>
      <c r="AS83" s="31">
        <f t="shared" si="14"/>
        <v>750</v>
      </c>
      <c r="AT83" s="31">
        <f t="shared" si="14"/>
        <v>750</v>
      </c>
      <c r="AU83" s="31">
        <f t="shared" si="15"/>
        <v>0</v>
      </c>
      <c r="AV83" s="7">
        <f t="shared" si="12"/>
        <v>46521.59</v>
      </c>
      <c r="AW83" s="7">
        <f t="shared" si="13"/>
        <v>202756.91</v>
      </c>
    </row>
    <row r="84" spans="1:49" ht="12.75">
      <c r="A84" s="93" t="s">
        <v>143</v>
      </c>
      <c r="B84" s="101">
        <v>41922</v>
      </c>
      <c r="C84" s="102">
        <v>62</v>
      </c>
      <c r="D84" s="7"/>
      <c r="E84" s="11"/>
      <c r="F84" s="15"/>
      <c r="G84" s="64"/>
      <c r="H84" s="15">
        <v>150</v>
      </c>
      <c r="I84" s="22"/>
      <c r="J84" s="15"/>
      <c r="L84" s="15"/>
      <c r="N84" s="15"/>
      <c r="P84" s="15"/>
      <c r="R84" s="15"/>
      <c r="S84" s="22">
        <v>150</v>
      </c>
      <c r="T84" s="10"/>
      <c r="U84" s="11"/>
      <c r="V84" s="15"/>
      <c r="W84" s="11"/>
      <c r="X84" s="15"/>
      <c r="Y84" s="11"/>
      <c r="Z84" s="10"/>
      <c r="AA84" s="11"/>
      <c r="AC84" s="11"/>
      <c r="AH84" s="10"/>
      <c r="AI84" s="65"/>
      <c r="AJ84" s="10"/>
      <c r="AK84" s="11"/>
      <c r="AL84" s="10"/>
      <c r="AM84" s="65"/>
      <c r="AN84" s="10"/>
      <c r="AO84" s="11"/>
      <c r="AP84" s="10"/>
      <c r="AQ84" s="11"/>
      <c r="AR84" s="5"/>
      <c r="AS84" s="31">
        <f t="shared" si="14"/>
        <v>150</v>
      </c>
      <c r="AT84" s="31">
        <f t="shared" si="14"/>
        <v>150</v>
      </c>
      <c r="AU84" s="31">
        <f t="shared" si="15"/>
        <v>0</v>
      </c>
      <c r="AV84" s="7">
        <f t="shared" si="12"/>
        <v>46521.59</v>
      </c>
      <c r="AW84" s="7">
        <f t="shared" si="13"/>
        <v>202906.91</v>
      </c>
    </row>
    <row r="85" spans="1:49" ht="12.75">
      <c r="A85" s="96" t="s">
        <v>145</v>
      </c>
      <c r="B85" s="101">
        <v>41927</v>
      </c>
      <c r="C85" s="102">
        <v>63</v>
      </c>
      <c r="D85" s="7"/>
      <c r="E85" s="11"/>
      <c r="F85" s="15"/>
      <c r="G85" s="64"/>
      <c r="H85" s="15"/>
      <c r="I85" s="22">
        <v>10980</v>
      </c>
      <c r="J85" s="15"/>
      <c r="L85" s="15"/>
      <c r="N85" s="15"/>
      <c r="P85" s="15"/>
      <c r="R85" s="94">
        <v>10980</v>
      </c>
      <c r="T85" s="10"/>
      <c r="U85" s="11"/>
      <c r="V85" s="15"/>
      <c r="W85" s="11"/>
      <c r="X85" s="15"/>
      <c r="Y85" s="11"/>
      <c r="Z85" s="10"/>
      <c r="AA85" s="11"/>
      <c r="AC85" s="11"/>
      <c r="AH85" s="10"/>
      <c r="AI85" s="65"/>
      <c r="AJ85" s="10"/>
      <c r="AK85" s="11"/>
      <c r="AL85" s="10"/>
      <c r="AM85" s="65"/>
      <c r="AN85" s="10"/>
      <c r="AO85" s="11"/>
      <c r="AP85" s="10"/>
      <c r="AQ85" s="11"/>
      <c r="AR85" s="5"/>
      <c r="AS85" s="31">
        <f t="shared" si="14"/>
        <v>10980</v>
      </c>
      <c r="AT85" s="31">
        <f t="shared" si="14"/>
        <v>10980</v>
      </c>
      <c r="AU85" s="31">
        <f t="shared" si="15"/>
        <v>0</v>
      </c>
      <c r="AV85" s="7">
        <f t="shared" si="12"/>
        <v>46521.59</v>
      </c>
      <c r="AW85" s="7">
        <f t="shared" si="13"/>
        <v>191926.91</v>
      </c>
    </row>
    <row r="86" spans="1:49" ht="12.75">
      <c r="A86" s="96" t="s">
        <v>146</v>
      </c>
      <c r="B86" s="101">
        <v>41927</v>
      </c>
      <c r="C86" s="102">
        <v>64</v>
      </c>
      <c r="D86" s="7"/>
      <c r="E86" s="11"/>
      <c r="F86" s="15"/>
      <c r="G86" s="64"/>
      <c r="H86" s="15"/>
      <c r="I86" s="22">
        <v>192.6</v>
      </c>
      <c r="J86" s="15"/>
      <c r="L86" s="15"/>
      <c r="N86" s="15"/>
      <c r="P86" s="15"/>
      <c r="R86" s="15"/>
      <c r="T86" s="10"/>
      <c r="U86" s="11"/>
      <c r="V86" s="15"/>
      <c r="W86" s="11"/>
      <c r="X86" s="15"/>
      <c r="Y86" s="11"/>
      <c r="Z86" s="10"/>
      <c r="AA86" s="11"/>
      <c r="AC86" s="11"/>
      <c r="AH86" s="10"/>
      <c r="AI86" s="65"/>
      <c r="AJ86" s="10">
        <v>192.6</v>
      </c>
      <c r="AK86" s="11"/>
      <c r="AL86" s="10"/>
      <c r="AM86" s="65"/>
      <c r="AN86" s="10"/>
      <c r="AO86" s="11"/>
      <c r="AP86" s="10"/>
      <c r="AQ86" s="11"/>
      <c r="AR86" s="5"/>
      <c r="AS86" s="31">
        <f t="shared" si="14"/>
        <v>192.6</v>
      </c>
      <c r="AT86" s="31">
        <f t="shared" si="14"/>
        <v>192.6</v>
      </c>
      <c r="AU86" s="31">
        <f t="shared" si="15"/>
        <v>0</v>
      </c>
      <c r="AV86" s="7">
        <f t="shared" si="12"/>
        <v>46521.59</v>
      </c>
      <c r="AW86" s="7">
        <f t="shared" si="13"/>
        <v>191734.31</v>
      </c>
    </row>
    <row r="87" spans="1:49" ht="12.75">
      <c r="A87" s="93" t="s">
        <v>147</v>
      </c>
      <c r="B87" s="101">
        <v>41940</v>
      </c>
      <c r="C87" s="102">
        <v>65</v>
      </c>
      <c r="D87" s="7"/>
      <c r="E87" s="11"/>
      <c r="F87" s="15"/>
      <c r="G87" s="64"/>
      <c r="H87" s="15">
        <v>150</v>
      </c>
      <c r="I87" s="22"/>
      <c r="J87" s="15"/>
      <c r="L87" s="15"/>
      <c r="N87" s="15"/>
      <c r="P87" s="15"/>
      <c r="R87" s="15"/>
      <c r="S87" s="22">
        <v>150</v>
      </c>
      <c r="T87" s="10"/>
      <c r="U87" s="11"/>
      <c r="V87" s="15"/>
      <c r="W87" s="11"/>
      <c r="X87" s="15"/>
      <c r="Y87" s="11"/>
      <c r="Z87" s="10"/>
      <c r="AA87" s="11"/>
      <c r="AC87" s="11"/>
      <c r="AH87" s="10"/>
      <c r="AI87" s="65"/>
      <c r="AJ87" s="10"/>
      <c r="AK87" s="11"/>
      <c r="AL87" s="10"/>
      <c r="AM87" s="65"/>
      <c r="AN87" s="10"/>
      <c r="AO87" s="11"/>
      <c r="AP87" s="10"/>
      <c r="AQ87" s="11"/>
      <c r="AR87" s="5"/>
      <c r="AS87" s="31">
        <f t="shared" si="14"/>
        <v>150</v>
      </c>
      <c r="AT87" s="31">
        <f t="shared" si="14"/>
        <v>150</v>
      </c>
      <c r="AU87" s="31">
        <f t="shared" si="15"/>
        <v>0</v>
      </c>
      <c r="AV87" s="7">
        <f t="shared" si="12"/>
        <v>46521.59</v>
      </c>
      <c r="AW87" s="7">
        <f t="shared" si="13"/>
        <v>191884.31</v>
      </c>
    </row>
    <row r="88" spans="1:49" ht="12.75">
      <c r="A88" s="96" t="s">
        <v>59</v>
      </c>
      <c r="B88" s="101">
        <v>41943</v>
      </c>
      <c r="C88" s="102">
        <v>66</v>
      </c>
      <c r="D88" s="7"/>
      <c r="E88" s="11"/>
      <c r="F88" s="15"/>
      <c r="G88" s="64"/>
      <c r="H88" s="15"/>
      <c r="I88" s="22">
        <v>6</v>
      </c>
      <c r="J88" s="15"/>
      <c r="L88" s="15"/>
      <c r="N88" s="15"/>
      <c r="P88" s="15"/>
      <c r="R88" s="15"/>
      <c r="T88" s="10"/>
      <c r="U88" s="11"/>
      <c r="V88" s="15"/>
      <c r="W88" s="11"/>
      <c r="X88" s="15">
        <v>6</v>
      </c>
      <c r="Y88" s="11"/>
      <c r="Z88" s="10"/>
      <c r="AA88" s="11"/>
      <c r="AC88" s="11"/>
      <c r="AH88" s="10"/>
      <c r="AI88" s="65"/>
      <c r="AJ88" s="10"/>
      <c r="AK88" s="11"/>
      <c r="AL88" s="10"/>
      <c r="AM88" s="65"/>
      <c r="AN88" s="10"/>
      <c r="AO88" s="11"/>
      <c r="AP88" s="10"/>
      <c r="AQ88" s="11"/>
      <c r="AR88" s="5"/>
      <c r="AS88" s="31">
        <f>D88+F88+H88+J88+L88+N88+P88+R88+T88+V88+X88+Z88+AB88+AD88+AF88+AH88+AJ88+AL88+AN88+AP88</f>
        <v>6</v>
      </c>
      <c r="AT88" s="31">
        <f>E88+G88+I88+K88+M88+O88+Q88+S88+U88+W88+Y88+AA88+AC88+AE88+AG88+AI88+AK88+AM88+AO88+AQ88</f>
        <v>6</v>
      </c>
      <c r="AU88" s="31">
        <f>AS88-AT88</f>
        <v>0</v>
      </c>
      <c r="AV88" s="7">
        <f t="shared" si="12"/>
        <v>46521.59</v>
      </c>
      <c r="AW88" s="71">
        <f t="shared" si="13"/>
        <v>191878.31</v>
      </c>
    </row>
    <row r="89" spans="1:50" ht="12.75">
      <c r="A89" s="96" t="s">
        <v>151</v>
      </c>
      <c r="B89" s="101">
        <v>41955</v>
      </c>
      <c r="C89" s="102">
        <v>67</v>
      </c>
      <c r="D89" s="7"/>
      <c r="E89" s="11"/>
      <c r="F89" s="15"/>
      <c r="G89" s="64"/>
      <c r="H89" s="15"/>
      <c r="I89" s="22">
        <v>1718</v>
      </c>
      <c r="J89" s="15"/>
      <c r="L89" s="15"/>
      <c r="N89" s="15"/>
      <c r="P89" s="15"/>
      <c r="R89" s="15"/>
      <c r="T89" s="10"/>
      <c r="U89" s="11"/>
      <c r="V89" s="15"/>
      <c r="W89" s="11"/>
      <c r="X89" s="15"/>
      <c r="Y89" s="11"/>
      <c r="Z89" s="10"/>
      <c r="AA89" s="11"/>
      <c r="AC89" s="11"/>
      <c r="AH89" s="10"/>
      <c r="AI89" s="65"/>
      <c r="AJ89" s="10"/>
      <c r="AK89" s="11"/>
      <c r="AL89" s="10"/>
      <c r="AM89" s="65"/>
      <c r="AN89" s="10"/>
      <c r="AO89" s="11"/>
      <c r="AP89" s="10">
        <v>1718</v>
      </c>
      <c r="AQ89" s="11"/>
      <c r="AR89" s="5"/>
      <c r="AS89" s="31">
        <f aca="true" t="shared" si="16" ref="AS89:AT92">D89+F89+H89+J89+L89+N89+P89+R89+T89+V89+X89+Z89+AB89+AD89+AF89+AH89+AJ89+AL89+AN89+AP89</f>
        <v>1718</v>
      </c>
      <c r="AT89" s="31">
        <f t="shared" si="16"/>
        <v>1718</v>
      </c>
      <c r="AU89" s="31">
        <f t="shared" si="15"/>
        <v>0</v>
      </c>
      <c r="AV89" s="7">
        <f t="shared" si="12"/>
        <v>46521.59</v>
      </c>
      <c r="AW89" s="7">
        <f t="shared" si="13"/>
        <v>190160.31</v>
      </c>
      <c r="AX89" s="7" t="e">
        <f>AW89-I94+#REF!</f>
        <v>#REF!</v>
      </c>
    </row>
    <row r="90" spans="1:49" ht="12.75">
      <c r="A90" s="96" t="s">
        <v>149</v>
      </c>
      <c r="B90" s="101">
        <v>41955</v>
      </c>
      <c r="C90" s="102">
        <v>68</v>
      </c>
      <c r="D90" s="7"/>
      <c r="E90" s="11"/>
      <c r="F90" s="15"/>
      <c r="G90" s="64"/>
      <c r="H90" s="15"/>
      <c r="I90" s="22">
        <v>29</v>
      </c>
      <c r="J90" s="15"/>
      <c r="L90" s="15"/>
      <c r="N90" s="15"/>
      <c r="P90" s="15"/>
      <c r="R90" s="15"/>
      <c r="T90" s="10"/>
      <c r="U90" s="11"/>
      <c r="V90" s="15"/>
      <c r="W90" s="11"/>
      <c r="X90" s="15">
        <v>29</v>
      </c>
      <c r="Y90" s="11"/>
      <c r="Z90" s="10"/>
      <c r="AA90" s="11"/>
      <c r="AC90" s="11"/>
      <c r="AH90" s="10"/>
      <c r="AI90" s="65"/>
      <c r="AJ90" s="10"/>
      <c r="AK90" s="11"/>
      <c r="AL90" s="10"/>
      <c r="AM90" s="65"/>
      <c r="AN90" s="10"/>
      <c r="AO90" s="11"/>
      <c r="AP90" s="10"/>
      <c r="AQ90" s="11"/>
      <c r="AR90" s="5"/>
      <c r="AS90" s="31">
        <f>D90+F90+H90+J90+L90+N90+P90+R90+T90+V90+X90+Z90+AB90+AD90+AF90+AH90+AJ90+AL90+AN90+AP90</f>
        <v>29</v>
      </c>
      <c r="AT90" s="31">
        <f>E90+G90+I90+K90+M90+O90+Q90+S90+U90+W90+Y90+AA90+AC90+AE90+AG90+AI90+AK90+AM90+AO90+AQ90</f>
        <v>29</v>
      </c>
      <c r="AU90" s="31">
        <f aca="true" t="shared" si="17" ref="AU90:AU99">AS90-AT90</f>
        <v>0</v>
      </c>
      <c r="AV90" s="7">
        <f t="shared" si="12"/>
        <v>46521.59</v>
      </c>
      <c r="AW90" s="7">
        <f t="shared" si="13"/>
        <v>190131.31</v>
      </c>
    </row>
    <row r="91" spans="1:49" ht="12.75">
      <c r="A91" s="96" t="s">
        <v>148</v>
      </c>
      <c r="B91" s="101">
        <v>41955</v>
      </c>
      <c r="C91" s="102">
        <v>69</v>
      </c>
      <c r="D91" s="7"/>
      <c r="E91" s="11"/>
      <c r="F91" s="15"/>
      <c r="G91" s="64"/>
      <c r="H91" s="15"/>
      <c r="I91" s="22">
        <v>30</v>
      </c>
      <c r="J91" s="15"/>
      <c r="L91" s="15"/>
      <c r="N91" s="15"/>
      <c r="P91" s="15"/>
      <c r="R91" s="15"/>
      <c r="T91" s="10"/>
      <c r="U91" s="11"/>
      <c r="V91" s="15"/>
      <c r="W91" s="11"/>
      <c r="X91" s="15">
        <v>30</v>
      </c>
      <c r="Y91" s="11"/>
      <c r="Z91" s="10"/>
      <c r="AA91" s="11"/>
      <c r="AC91" s="11"/>
      <c r="AH91" s="10"/>
      <c r="AI91" s="65"/>
      <c r="AJ91" s="10"/>
      <c r="AK91" s="11"/>
      <c r="AL91" s="10"/>
      <c r="AM91" s="65"/>
      <c r="AN91" s="10"/>
      <c r="AO91" s="11"/>
      <c r="AP91" s="10"/>
      <c r="AQ91" s="11"/>
      <c r="AR91" s="5"/>
      <c r="AS91" s="31">
        <f>D91+F91+H91+J91+L91+N91+P91+R91+T91+V91+X91+Z91+AB91+AD91+AF91+AH91+AJ91+AL91+AN91+AP91</f>
        <v>30</v>
      </c>
      <c r="AT91" s="31">
        <f>E91+G91+I91+K91+M91+O91+Q91+S91+U91+W91+Y91+AA91+AC91+AE91+AG91+AI91+AK91+AM91+AO91+AQ91</f>
        <v>30</v>
      </c>
      <c r="AU91" s="31">
        <f t="shared" si="17"/>
        <v>0</v>
      </c>
      <c r="AV91" s="7">
        <f t="shared" si="12"/>
        <v>46521.59</v>
      </c>
      <c r="AW91" s="7">
        <f t="shared" si="13"/>
        <v>190101.31</v>
      </c>
    </row>
    <row r="92" spans="1:49" ht="12.75">
      <c r="A92" s="96" t="s">
        <v>59</v>
      </c>
      <c r="B92" s="101">
        <v>41971</v>
      </c>
      <c r="C92" s="102">
        <v>70</v>
      </c>
      <c r="D92" s="7"/>
      <c r="E92" s="11"/>
      <c r="F92" s="15"/>
      <c r="G92" s="64"/>
      <c r="H92" s="15"/>
      <c r="I92" s="22">
        <v>6</v>
      </c>
      <c r="J92" s="15"/>
      <c r="L92" s="15"/>
      <c r="N92" s="15"/>
      <c r="P92" s="15"/>
      <c r="R92" s="15"/>
      <c r="T92" s="10"/>
      <c r="U92" s="11"/>
      <c r="V92" s="15"/>
      <c r="W92" s="11"/>
      <c r="X92" s="15">
        <v>6</v>
      </c>
      <c r="Y92" s="11"/>
      <c r="Z92" s="10"/>
      <c r="AA92" s="11"/>
      <c r="AC92" s="11"/>
      <c r="AH92" s="10"/>
      <c r="AI92" s="65"/>
      <c r="AJ92" s="10"/>
      <c r="AK92" s="11"/>
      <c r="AL92" s="10"/>
      <c r="AM92" s="65"/>
      <c r="AN92" s="10"/>
      <c r="AO92" s="11"/>
      <c r="AP92" s="10"/>
      <c r="AQ92" s="11"/>
      <c r="AR92" s="5"/>
      <c r="AS92" s="31">
        <f t="shared" si="16"/>
        <v>6</v>
      </c>
      <c r="AT92" s="31">
        <f t="shared" si="16"/>
        <v>6</v>
      </c>
      <c r="AU92" s="31">
        <f t="shared" si="17"/>
        <v>0</v>
      </c>
      <c r="AV92" s="7">
        <f t="shared" si="12"/>
        <v>46521.59</v>
      </c>
      <c r="AW92" s="71">
        <f t="shared" si="13"/>
        <v>190095.31</v>
      </c>
    </row>
    <row r="93" spans="1:49" ht="12.75">
      <c r="A93" s="96" t="s">
        <v>153</v>
      </c>
      <c r="B93" s="101">
        <v>41974</v>
      </c>
      <c r="C93" s="102">
        <v>71</v>
      </c>
      <c r="D93" s="7"/>
      <c r="E93" s="11"/>
      <c r="F93" s="15"/>
      <c r="G93" s="64"/>
      <c r="H93" s="15"/>
      <c r="I93" s="22">
        <v>2776.5</v>
      </c>
      <c r="J93" s="15"/>
      <c r="L93" s="15"/>
      <c r="N93" s="15"/>
      <c r="P93" s="15"/>
      <c r="R93" s="15"/>
      <c r="T93" s="10"/>
      <c r="U93" s="11"/>
      <c r="V93" s="15"/>
      <c r="W93" s="11"/>
      <c r="X93" s="15"/>
      <c r="Y93" s="11"/>
      <c r="Z93" s="10"/>
      <c r="AA93" s="11"/>
      <c r="AC93" s="11"/>
      <c r="AH93" s="10"/>
      <c r="AI93" s="65"/>
      <c r="AJ93" s="10">
        <v>2776.5</v>
      </c>
      <c r="AK93" s="11"/>
      <c r="AL93" s="10"/>
      <c r="AM93" s="65"/>
      <c r="AN93" s="10"/>
      <c r="AO93" s="11"/>
      <c r="AP93" s="10"/>
      <c r="AQ93" s="11"/>
      <c r="AR93" s="5"/>
      <c r="AS93" s="31">
        <f aca="true" t="shared" si="18" ref="AS93:AT99">D93+F93+H93+J93+L93+N93+P93+R93+T93+V93+X93+Z93+AB93+AD93+AF93+AH93+AJ93+AL93+AN93+AP93</f>
        <v>2776.5</v>
      </c>
      <c r="AT93" s="31">
        <f t="shared" si="18"/>
        <v>2776.5</v>
      </c>
      <c r="AU93" s="31">
        <f t="shared" si="17"/>
        <v>0</v>
      </c>
      <c r="AV93" s="7">
        <f t="shared" si="12"/>
        <v>46521.59</v>
      </c>
      <c r="AW93" s="7">
        <f t="shared" si="13"/>
        <v>187318.81</v>
      </c>
    </row>
    <row r="94" spans="1:49" ht="12.75">
      <c r="A94" s="96" t="s">
        <v>150</v>
      </c>
      <c r="B94" s="101">
        <v>41976</v>
      </c>
      <c r="C94" s="102">
        <v>72</v>
      </c>
      <c r="D94" s="7"/>
      <c r="E94" s="11"/>
      <c r="F94" s="15"/>
      <c r="G94" s="64"/>
      <c r="H94" s="15"/>
      <c r="I94" s="22">
        <v>1411.88</v>
      </c>
      <c r="J94" s="15"/>
      <c r="L94" s="15"/>
      <c r="N94" s="15"/>
      <c r="P94" s="15"/>
      <c r="R94" s="15"/>
      <c r="T94" s="10"/>
      <c r="U94" s="11"/>
      <c r="V94" s="15"/>
      <c r="W94" s="11"/>
      <c r="X94" s="15"/>
      <c r="Y94" s="11"/>
      <c r="Z94" s="10"/>
      <c r="AA94" s="11"/>
      <c r="AC94" s="11"/>
      <c r="AH94" s="10"/>
      <c r="AI94" s="65"/>
      <c r="AJ94" s="10">
        <v>1411.88</v>
      </c>
      <c r="AK94" s="11"/>
      <c r="AL94" s="10"/>
      <c r="AM94" s="65"/>
      <c r="AN94" s="10"/>
      <c r="AO94" s="11"/>
      <c r="AP94" s="10"/>
      <c r="AQ94" s="11"/>
      <c r="AR94" s="5"/>
      <c r="AS94" s="31">
        <f>D94+F94+H94+J94+L94+N94+P94+R94+T94+V94+X94+Z94+AB94+AD94+AF94+AH94+AJ94+AL94+AN94+AP94</f>
        <v>1411.88</v>
      </c>
      <c r="AT94" s="31">
        <f>E94+G94+I94+K94+M94+O94+Q94+S94+U94+W94+Y94+AA94+AC94+AE94+AG94+AI94+AK94+AM94+AO94+AQ94</f>
        <v>1411.88</v>
      </c>
      <c r="AU94" s="31">
        <f>AS94-AT94</f>
        <v>0</v>
      </c>
      <c r="AV94" s="7">
        <f t="shared" si="12"/>
        <v>46521.59</v>
      </c>
      <c r="AW94" s="100">
        <f t="shared" si="13"/>
        <v>185906.93</v>
      </c>
    </row>
    <row r="95" spans="1:49" ht="12.75">
      <c r="A95" s="96" t="s">
        <v>162</v>
      </c>
      <c r="B95" s="101">
        <v>41978</v>
      </c>
      <c r="C95" s="102">
        <v>73</v>
      </c>
      <c r="D95" s="7"/>
      <c r="E95" s="11"/>
      <c r="F95" s="15"/>
      <c r="G95" s="64"/>
      <c r="H95" s="15"/>
      <c r="I95" s="22"/>
      <c r="J95" s="15"/>
      <c r="L95" s="15"/>
      <c r="N95" s="15"/>
      <c r="P95" s="15"/>
      <c r="R95" s="15"/>
      <c r="T95" s="10"/>
      <c r="U95" s="11"/>
      <c r="V95" s="15"/>
      <c r="W95" s="11"/>
      <c r="X95" s="15"/>
      <c r="Y95" s="11"/>
      <c r="Z95" s="10"/>
      <c r="AA95" s="11"/>
      <c r="AC95" s="11"/>
      <c r="AH95" s="10"/>
      <c r="AI95" s="65"/>
      <c r="AJ95" s="10"/>
      <c r="AK95" s="11">
        <v>2370</v>
      </c>
      <c r="AL95" s="10"/>
      <c r="AM95" s="65"/>
      <c r="AN95" s="10">
        <v>2370</v>
      </c>
      <c r="AO95" s="11"/>
      <c r="AP95" s="10"/>
      <c r="AQ95" s="11"/>
      <c r="AR95" s="5"/>
      <c r="AS95" s="31">
        <f t="shared" si="18"/>
        <v>2370</v>
      </c>
      <c r="AT95" s="31">
        <f t="shared" si="18"/>
        <v>2370</v>
      </c>
      <c r="AU95" s="31">
        <f t="shared" si="17"/>
        <v>0</v>
      </c>
      <c r="AV95" s="7">
        <f t="shared" si="12"/>
        <v>46521.59</v>
      </c>
      <c r="AW95" s="7">
        <f aca="true" t="shared" si="19" ref="AW95:AW111">AW94+(H95+L95-I95-M95)</f>
        <v>185906.93</v>
      </c>
    </row>
    <row r="96" spans="1:49" ht="12.75">
      <c r="A96" s="96" t="s">
        <v>163</v>
      </c>
      <c r="B96" s="101">
        <v>41981</v>
      </c>
      <c r="C96" s="102">
        <v>74</v>
      </c>
      <c r="D96" s="7"/>
      <c r="E96" s="11"/>
      <c r="F96" s="15"/>
      <c r="G96" s="64"/>
      <c r="H96" s="15">
        <f>150*4</f>
        <v>600</v>
      </c>
      <c r="I96" s="22"/>
      <c r="J96" s="15"/>
      <c r="L96" s="15"/>
      <c r="N96" s="15"/>
      <c r="P96" s="15"/>
      <c r="R96" s="15"/>
      <c r="T96" s="10"/>
      <c r="U96" s="11"/>
      <c r="V96" s="15"/>
      <c r="W96" s="11"/>
      <c r="X96" s="15"/>
      <c r="Y96" s="11"/>
      <c r="Z96" s="10"/>
      <c r="AA96" s="11"/>
      <c r="AC96" s="11"/>
      <c r="AH96" s="10"/>
      <c r="AI96" s="65"/>
      <c r="AJ96" s="10"/>
      <c r="AK96" s="11"/>
      <c r="AL96" s="10"/>
      <c r="AM96" s="65"/>
      <c r="AN96" s="10"/>
      <c r="AO96" s="11"/>
      <c r="AP96" s="10"/>
      <c r="AQ96" s="11">
        <v>600</v>
      </c>
      <c r="AR96" s="5"/>
      <c r="AS96" s="31">
        <f t="shared" si="18"/>
        <v>600</v>
      </c>
      <c r="AT96" s="31">
        <f t="shared" si="18"/>
        <v>600</v>
      </c>
      <c r="AU96" s="31">
        <f t="shared" si="17"/>
        <v>0</v>
      </c>
      <c r="AV96" s="7">
        <f t="shared" si="12"/>
        <v>46521.59</v>
      </c>
      <c r="AW96" s="7">
        <f t="shared" si="19"/>
        <v>186506.93</v>
      </c>
    </row>
    <row r="97" spans="1:49" ht="12.75">
      <c r="A97" s="96" t="s">
        <v>165</v>
      </c>
      <c r="B97" s="101">
        <v>41983</v>
      </c>
      <c r="C97" s="102">
        <v>75</v>
      </c>
      <c r="D97" s="7"/>
      <c r="E97" s="11"/>
      <c r="F97" s="15"/>
      <c r="G97" s="64"/>
      <c r="H97" s="15">
        <f>150*2</f>
        <v>300</v>
      </c>
      <c r="I97" s="22"/>
      <c r="J97" s="15"/>
      <c r="L97" s="15"/>
      <c r="N97" s="15"/>
      <c r="P97" s="15"/>
      <c r="R97" s="15"/>
      <c r="T97" s="10"/>
      <c r="U97" s="11"/>
      <c r="V97" s="15"/>
      <c r="W97" s="11"/>
      <c r="X97" s="15"/>
      <c r="Y97" s="11"/>
      <c r="Z97" s="10"/>
      <c r="AA97" s="11"/>
      <c r="AC97" s="11"/>
      <c r="AH97" s="10"/>
      <c r="AI97" s="65"/>
      <c r="AJ97" s="10"/>
      <c r="AK97" s="11"/>
      <c r="AL97" s="10"/>
      <c r="AM97" s="65"/>
      <c r="AN97" s="10"/>
      <c r="AO97" s="11"/>
      <c r="AP97" s="10"/>
      <c r="AQ97" s="11">
        <v>300</v>
      </c>
      <c r="AR97" s="5"/>
      <c r="AS97" s="31">
        <f t="shared" si="18"/>
        <v>300</v>
      </c>
      <c r="AT97" s="31">
        <f t="shared" si="18"/>
        <v>300</v>
      </c>
      <c r="AU97" s="31">
        <f t="shared" si="17"/>
        <v>0</v>
      </c>
      <c r="AV97" s="7">
        <f t="shared" si="12"/>
        <v>46521.59</v>
      </c>
      <c r="AW97" s="7">
        <f t="shared" si="19"/>
        <v>186806.93</v>
      </c>
    </row>
    <row r="98" spans="1:50" ht="12.75">
      <c r="A98" s="96" t="s">
        <v>156</v>
      </c>
      <c r="B98" s="101">
        <v>41983</v>
      </c>
      <c r="C98" s="102">
        <v>75</v>
      </c>
      <c r="D98" s="7"/>
      <c r="E98" s="11"/>
      <c r="F98" s="15"/>
      <c r="G98" s="107">
        <v>9763.93</v>
      </c>
      <c r="H98" s="94">
        <v>9763.93</v>
      </c>
      <c r="I98" s="22"/>
      <c r="J98" s="94"/>
      <c r="K98" s="107">
        <v>36666.67</v>
      </c>
      <c r="L98" s="94">
        <v>36666.67</v>
      </c>
      <c r="N98" s="15"/>
      <c r="P98" s="15"/>
      <c r="R98" s="15"/>
      <c r="T98" s="10"/>
      <c r="U98" s="11"/>
      <c r="V98" s="15"/>
      <c r="W98" s="11"/>
      <c r="X98" s="15"/>
      <c r="Y98" s="11"/>
      <c r="Z98" s="10"/>
      <c r="AA98" s="11"/>
      <c r="AC98" s="11"/>
      <c r="AH98" s="10"/>
      <c r="AI98" s="65"/>
      <c r="AJ98" s="10"/>
      <c r="AK98" s="11"/>
      <c r="AL98" s="10"/>
      <c r="AM98" s="65"/>
      <c r="AN98" s="10"/>
      <c r="AO98" s="11"/>
      <c r="AP98" s="10"/>
      <c r="AQ98" s="11"/>
      <c r="AR98" s="5"/>
      <c r="AS98" s="31">
        <f>D98+F98+H98+J98+L98+N98+P98+R98+T98+V98+X98+Z98+AB98+AD98+AF98+AH98+AJ98+AL98+AN98+AP98</f>
        <v>46430.6</v>
      </c>
      <c r="AT98" s="31">
        <f>E98+G98+I98+K98+M98+O98+Q98+S98+U98+W98+Y98+AA98+AC98+AE98+AG98+AI98+AK98+AM98+AO98+AQ98</f>
        <v>46430.6</v>
      </c>
      <c r="AU98" s="31">
        <f>AS98-AT98</f>
        <v>0</v>
      </c>
      <c r="AV98" s="75">
        <f t="shared" si="12"/>
        <v>90.98999999999796</v>
      </c>
      <c r="AW98" s="7">
        <f t="shared" si="19"/>
        <v>233237.53</v>
      </c>
      <c r="AX98" t="s">
        <v>187</v>
      </c>
    </row>
    <row r="99" spans="1:49" ht="12.75">
      <c r="A99" s="106" t="s">
        <v>157</v>
      </c>
      <c r="B99" s="101">
        <v>41983</v>
      </c>
      <c r="C99" s="102" t="s">
        <v>173</v>
      </c>
      <c r="D99" s="7"/>
      <c r="E99" s="11"/>
      <c r="F99" s="15">
        <v>59.01</v>
      </c>
      <c r="G99" s="64">
        <v>150</v>
      </c>
      <c r="H99" s="15"/>
      <c r="I99" s="22"/>
      <c r="J99" s="15"/>
      <c r="L99" s="15"/>
      <c r="N99" s="15"/>
      <c r="P99" s="15"/>
      <c r="R99" s="15"/>
      <c r="T99" s="10"/>
      <c r="U99" s="11"/>
      <c r="V99" s="15"/>
      <c r="W99" s="11"/>
      <c r="X99" s="15">
        <v>150</v>
      </c>
      <c r="Y99" s="11">
        <v>59.01</v>
      </c>
      <c r="Z99" s="10"/>
      <c r="AA99" s="11"/>
      <c r="AC99" s="11"/>
      <c r="AH99" s="10"/>
      <c r="AI99" s="65"/>
      <c r="AJ99" s="10"/>
      <c r="AK99" s="11"/>
      <c r="AL99" s="10"/>
      <c r="AM99" s="65"/>
      <c r="AN99" s="10"/>
      <c r="AO99" s="11"/>
      <c r="AP99" s="10"/>
      <c r="AQ99" s="11"/>
      <c r="AR99" s="5"/>
      <c r="AS99" s="31">
        <f t="shared" si="18"/>
        <v>209.01</v>
      </c>
      <c r="AT99" s="31">
        <f t="shared" si="18"/>
        <v>209.01</v>
      </c>
      <c r="AU99" s="31">
        <f t="shared" si="17"/>
        <v>0</v>
      </c>
      <c r="AV99" s="71">
        <f t="shared" si="12"/>
        <v>-2.0463630789890885E-12</v>
      </c>
      <c r="AW99" s="7">
        <f t="shared" si="19"/>
        <v>233237.53</v>
      </c>
    </row>
    <row r="100" spans="1:49" ht="12.75">
      <c r="A100" s="96" t="s">
        <v>166</v>
      </c>
      <c r="B100" s="101">
        <v>41984</v>
      </c>
      <c r="C100" s="102">
        <v>77</v>
      </c>
      <c r="D100" s="7"/>
      <c r="E100" s="11"/>
      <c r="F100" s="15"/>
      <c r="G100" s="64"/>
      <c r="H100" s="15">
        <v>150</v>
      </c>
      <c r="I100" s="22"/>
      <c r="J100" s="15"/>
      <c r="L100" s="15"/>
      <c r="N100" s="15"/>
      <c r="P100" s="15"/>
      <c r="R100" s="15"/>
      <c r="T100" s="10"/>
      <c r="U100" s="11"/>
      <c r="V100" s="15"/>
      <c r="W100" s="11"/>
      <c r="X100" s="15"/>
      <c r="Y100" s="11"/>
      <c r="Z100" s="10"/>
      <c r="AA100" s="11"/>
      <c r="AC100" s="11"/>
      <c r="AH100" s="10"/>
      <c r="AI100" s="65"/>
      <c r="AJ100" s="10"/>
      <c r="AK100" s="11"/>
      <c r="AL100" s="10"/>
      <c r="AM100" s="65"/>
      <c r="AN100" s="10"/>
      <c r="AO100" s="11"/>
      <c r="AP100" s="10"/>
      <c r="AQ100" s="11">
        <v>150</v>
      </c>
      <c r="AR100" s="5"/>
      <c r="AS100" s="31">
        <f aca="true" t="shared" si="20" ref="AS100:AS106">D100+F100+H100+J100+L100+N100+P100+R100+T100+V100+X100+Z100+AB100+AD100+AF100+AH100+AJ100+AL100+AN100+AP100</f>
        <v>150</v>
      </c>
      <c r="AT100" s="31">
        <f aca="true" t="shared" si="21" ref="AT100:AT106">E100+G100+I100+K100+M100+O100+Q100+S100+U100+W100+Y100+AA100+AC100+AE100+AG100+AI100+AK100+AM100+AO100+AQ100</f>
        <v>150</v>
      </c>
      <c r="AU100" s="31">
        <f aca="true" t="shared" si="22" ref="AU100:AU106">AS100-AT100</f>
        <v>0</v>
      </c>
      <c r="AV100" s="7">
        <f t="shared" si="12"/>
        <v>-2.0463630789890885E-12</v>
      </c>
      <c r="AW100" s="7">
        <f t="shared" si="19"/>
        <v>233387.53</v>
      </c>
    </row>
    <row r="101" spans="1:49" ht="12.75">
      <c r="A101" s="96" t="s">
        <v>167</v>
      </c>
      <c r="B101" s="101">
        <v>41985</v>
      </c>
      <c r="C101" s="102">
        <v>78</v>
      </c>
      <c r="D101" s="7"/>
      <c r="E101" s="11"/>
      <c r="F101" s="15"/>
      <c r="G101" s="64"/>
      <c r="H101" s="15">
        <v>150</v>
      </c>
      <c r="I101" s="22"/>
      <c r="J101" s="15"/>
      <c r="L101" s="15"/>
      <c r="N101" s="15"/>
      <c r="P101" s="15"/>
      <c r="R101" s="15"/>
      <c r="T101" s="10"/>
      <c r="U101" s="11"/>
      <c r="V101" s="15"/>
      <c r="W101" s="11"/>
      <c r="X101" s="15"/>
      <c r="Y101" s="11"/>
      <c r="Z101" s="10"/>
      <c r="AA101" s="11"/>
      <c r="AC101" s="11"/>
      <c r="AH101" s="10"/>
      <c r="AI101" s="65"/>
      <c r="AJ101" s="10"/>
      <c r="AK101" s="11"/>
      <c r="AL101" s="10"/>
      <c r="AM101" s="65"/>
      <c r="AN101" s="10"/>
      <c r="AO101" s="11"/>
      <c r="AP101" s="10"/>
      <c r="AQ101" s="11">
        <v>150</v>
      </c>
      <c r="AR101" s="5"/>
      <c r="AS101" s="31">
        <f t="shared" si="20"/>
        <v>150</v>
      </c>
      <c r="AT101" s="31">
        <f t="shared" si="21"/>
        <v>150</v>
      </c>
      <c r="AU101" s="31">
        <f t="shared" si="22"/>
        <v>0</v>
      </c>
      <c r="AV101" s="7">
        <f t="shared" si="12"/>
        <v>-2.0463630789890885E-12</v>
      </c>
      <c r="AW101" s="7">
        <f t="shared" si="19"/>
        <v>233537.53</v>
      </c>
    </row>
    <row r="102" spans="1:49" ht="12.75">
      <c r="A102" s="96" t="s">
        <v>204</v>
      </c>
      <c r="B102" s="101">
        <v>41988</v>
      </c>
      <c r="C102" s="102">
        <v>79</v>
      </c>
      <c r="D102" s="7"/>
      <c r="E102" s="11"/>
      <c r="F102" s="15"/>
      <c r="G102" s="64"/>
      <c r="H102" s="15">
        <v>4772</v>
      </c>
      <c r="I102" s="22"/>
      <c r="J102" s="15"/>
      <c r="L102" s="15"/>
      <c r="N102" s="15"/>
      <c r="P102" s="15"/>
      <c r="R102" s="15"/>
      <c r="T102" s="10"/>
      <c r="U102" s="11"/>
      <c r="V102" s="15"/>
      <c r="W102" s="11"/>
      <c r="X102" s="15"/>
      <c r="Y102" s="11">
        <v>4772</v>
      </c>
      <c r="Z102" s="10"/>
      <c r="AA102" s="11"/>
      <c r="AC102" s="11"/>
      <c r="AH102" s="10"/>
      <c r="AI102" s="65"/>
      <c r="AJ102" s="10"/>
      <c r="AK102" s="11"/>
      <c r="AL102" s="10"/>
      <c r="AM102" s="65"/>
      <c r="AN102" s="10"/>
      <c r="AO102" s="11"/>
      <c r="AP102" s="10"/>
      <c r="AQ102" s="11"/>
      <c r="AR102" s="5"/>
      <c r="AS102" s="31">
        <f t="shared" si="20"/>
        <v>4772</v>
      </c>
      <c r="AT102" s="31">
        <f t="shared" si="21"/>
        <v>4772</v>
      </c>
      <c r="AU102" s="31">
        <f t="shared" si="22"/>
        <v>0</v>
      </c>
      <c r="AV102" s="7">
        <f t="shared" si="12"/>
        <v>-2.0463630789890885E-12</v>
      </c>
      <c r="AW102" s="7">
        <f t="shared" si="19"/>
        <v>238309.53</v>
      </c>
    </row>
    <row r="103" spans="1:49" ht="12.75">
      <c r="A103" s="96" t="s">
        <v>168</v>
      </c>
      <c r="B103" s="101">
        <v>41991</v>
      </c>
      <c r="C103" s="102">
        <v>80</v>
      </c>
      <c r="D103" s="7"/>
      <c r="E103" s="11"/>
      <c r="F103" s="15"/>
      <c r="G103" s="64"/>
      <c r="H103" s="94">
        <v>2700</v>
      </c>
      <c r="I103" s="22"/>
      <c r="J103" s="15"/>
      <c r="L103" s="15"/>
      <c r="N103" s="15"/>
      <c r="P103" s="15"/>
      <c r="Q103" s="22">
        <v>2700</v>
      </c>
      <c r="R103" s="15"/>
      <c r="T103" s="10"/>
      <c r="U103" s="11"/>
      <c r="V103" s="15"/>
      <c r="W103" s="11"/>
      <c r="X103" s="15"/>
      <c r="Y103" s="11"/>
      <c r="Z103" s="10"/>
      <c r="AA103" s="11"/>
      <c r="AC103" s="11"/>
      <c r="AH103" s="10"/>
      <c r="AI103" s="65"/>
      <c r="AJ103" s="10"/>
      <c r="AK103" s="11"/>
      <c r="AL103" s="10"/>
      <c r="AM103" s="65"/>
      <c r="AN103" s="10"/>
      <c r="AO103" s="11"/>
      <c r="AP103" s="10"/>
      <c r="AQ103" s="11"/>
      <c r="AR103" s="5"/>
      <c r="AS103" s="31">
        <f t="shared" si="20"/>
        <v>2700</v>
      </c>
      <c r="AT103" s="31">
        <f t="shared" si="21"/>
        <v>2700</v>
      </c>
      <c r="AU103" s="31">
        <f t="shared" si="22"/>
        <v>0</v>
      </c>
      <c r="AV103" s="7">
        <f t="shared" si="12"/>
        <v>-2.0463630789890885E-12</v>
      </c>
      <c r="AW103" s="7">
        <f t="shared" si="19"/>
        <v>241009.53</v>
      </c>
    </row>
    <row r="104" spans="1:49" ht="12.75">
      <c r="A104" s="96" t="s">
        <v>171</v>
      </c>
      <c r="B104" s="101">
        <v>41992</v>
      </c>
      <c r="C104" s="102">
        <v>81</v>
      </c>
      <c r="D104" s="7"/>
      <c r="E104" s="11"/>
      <c r="F104" s="15"/>
      <c r="G104" s="64"/>
      <c r="H104" s="94">
        <f>(21500+6000)*0.2</f>
        <v>5500</v>
      </c>
      <c r="I104" s="22"/>
      <c r="J104" s="15"/>
      <c r="L104" s="15">
        <f>(21500+6000)*0.8</f>
        <v>22000</v>
      </c>
      <c r="N104" s="15"/>
      <c r="P104" s="15"/>
      <c r="R104" s="15"/>
      <c r="T104" s="10"/>
      <c r="U104" s="11"/>
      <c r="V104" s="15"/>
      <c r="W104" s="11"/>
      <c r="X104" s="15"/>
      <c r="Y104" s="11"/>
      <c r="Z104" s="10"/>
      <c r="AA104" s="11"/>
      <c r="AC104" s="11"/>
      <c r="AE104" s="22">
        <f>(21500+6000)*0.8</f>
        <v>22000</v>
      </c>
      <c r="AG104" s="22">
        <f>(21500+6000)*0.2</f>
        <v>5500</v>
      </c>
      <c r="AH104" s="10"/>
      <c r="AI104" s="65"/>
      <c r="AJ104" s="10"/>
      <c r="AK104" s="11"/>
      <c r="AL104" s="10"/>
      <c r="AM104" s="65"/>
      <c r="AN104" s="10"/>
      <c r="AO104" s="11"/>
      <c r="AP104" s="10"/>
      <c r="AQ104" s="11"/>
      <c r="AR104" s="5"/>
      <c r="AS104" s="31">
        <f>D104+F104+H104+J104+L104+N104+P104+R104+T104+V104+X104+Z104+AB104+AD104+AF104+AH104+AJ104+AL104+AN104+AP104</f>
        <v>27500</v>
      </c>
      <c r="AT104" s="31">
        <f>E104+G104+I104+K104+M104+O104+Q104+S104+U104+W104+Y104+AA104+AC104+AE104+AG104+AI104+AK104+AM104+AO104+AQ104</f>
        <v>27500</v>
      </c>
      <c r="AU104" s="31">
        <f>AS104-AT104</f>
        <v>0</v>
      </c>
      <c r="AV104" s="7">
        <f t="shared" si="12"/>
        <v>-2.0463630789890885E-12</v>
      </c>
      <c r="AW104" s="7">
        <f t="shared" si="19"/>
        <v>268509.53</v>
      </c>
    </row>
    <row r="105" spans="1:49" ht="12.75">
      <c r="A105" s="96" t="s">
        <v>169</v>
      </c>
      <c r="B105" s="101">
        <v>41995</v>
      </c>
      <c r="C105" s="102">
        <v>82</v>
      </c>
      <c r="D105" s="7"/>
      <c r="E105" s="11"/>
      <c r="F105" s="15"/>
      <c r="G105" s="64"/>
      <c r="H105" s="94">
        <v>150</v>
      </c>
      <c r="I105" s="22"/>
      <c r="J105" s="15"/>
      <c r="L105" s="15"/>
      <c r="N105" s="15"/>
      <c r="P105" s="15"/>
      <c r="R105" s="15"/>
      <c r="T105" s="10"/>
      <c r="U105" s="11"/>
      <c r="V105" s="15"/>
      <c r="W105" s="11"/>
      <c r="X105" s="15"/>
      <c r="Y105" s="11"/>
      <c r="Z105" s="10"/>
      <c r="AA105" s="11"/>
      <c r="AC105" s="11"/>
      <c r="AH105" s="10"/>
      <c r="AI105" s="65"/>
      <c r="AJ105" s="10"/>
      <c r="AK105" s="11"/>
      <c r="AL105" s="10"/>
      <c r="AM105" s="65"/>
      <c r="AN105" s="10"/>
      <c r="AO105" s="11"/>
      <c r="AP105" s="10"/>
      <c r="AQ105" s="11">
        <v>150</v>
      </c>
      <c r="AR105" s="5"/>
      <c r="AS105" s="31">
        <f t="shared" si="20"/>
        <v>150</v>
      </c>
      <c r="AT105" s="31">
        <f t="shared" si="21"/>
        <v>150</v>
      </c>
      <c r="AU105" s="31">
        <f t="shared" si="22"/>
        <v>0</v>
      </c>
      <c r="AV105" s="7">
        <f t="shared" si="12"/>
        <v>-2.0463630789890885E-12</v>
      </c>
      <c r="AW105" s="7">
        <f t="shared" si="19"/>
        <v>268659.53</v>
      </c>
    </row>
    <row r="106" spans="1:49" ht="12.75">
      <c r="A106" s="96" t="s">
        <v>170</v>
      </c>
      <c r="B106" s="101">
        <v>41996</v>
      </c>
      <c r="C106" s="102">
        <v>83</v>
      </c>
      <c r="D106" s="7"/>
      <c r="E106" s="11"/>
      <c r="F106" s="15"/>
      <c r="G106" s="64"/>
      <c r="H106" s="94">
        <f>15000*0.2</f>
        <v>3000</v>
      </c>
      <c r="I106" s="22"/>
      <c r="J106" s="15"/>
      <c r="L106" s="15">
        <f>15000-H106</f>
        <v>12000</v>
      </c>
      <c r="N106" s="15"/>
      <c r="P106" s="15"/>
      <c r="R106" s="15"/>
      <c r="T106" s="10"/>
      <c r="U106" s="11"/>
      <c r="V106" s="15"/>
      <c r="W106" s="11"/>
      <c r="X106" s="15"/>
      <c r="Y106" s="11"/>
      <c r="Z106" s="10"/>
      <c r="AA106" s="11"/>
      <c r="AC106" s="11"/>
      <c r="AE106" s="22">
        <v>12000</v>
      </c>
      <c r="AG106" s="22">
        <v>3000</v>
      </c>
      <c r="AH106" s="10"/>
      <c r="AI106" s="65"/>
      <c r="AJ106" s="10"/>
      <c r="AK106" s="11"/>
      <c r="AL106" s="10"/>
      <c r="AM106" s="136"/>
      <c r="AN106" s="10"/>
      <c r="AO106" s="11"/>
      <c r="AP106" s="10"/>
      <c r="AQ106" s="11"/>
      <c r="AR106" s="108" t="s">
        <v>205</v>
      </c>
      <c r="AS106" s="31">
        <f t="shared" si="20"/>
        <v>15000</v>
      </c>
      <c r="AT106" s="31">
        <f t="shared" si="21"/>
        <v>15000</v>
      </c>
      <c r="AU106" s="31">
        <f t="shared" si="22"/>
        <v>0</v>
      </c>
      <c r="AV106" s="7">
        <f t="shared" si="12"/>
        <v>-2.0463630789890885E-12</v>
      </c>
      <c r="AW106" s="7">
        <f t="shared" si="19"/>
        <v>283659.53</v>
      </c>
    </row>
    <row r="107" spans="1:49" ht="12.75">
      <c r="A107" s="96" t="s">
        <v>184</v>
      </c>
      <c r="B107" s="101">
        <v>41996</v>
      </c>
      <c r="C107" s="102">
        <v>84</v>
      </c>
      <c r="D107" s="7"/>
      <c r="E107" s="11"/>
      <c r="F107" s="15"/>
      <c r="G107" s="64"/>
      <c r="H107" s="94">
        <f>4800*2</f>
        <v>9600</v>
      </c>
      <c r="I107" s="22"/>
      <c r="J107" s="15"/>
      <c r="L107" s="15"/>
      <c r="M107" s="22">
        <f>4800*2</f>
        <v>9600</v>
      </c>
      <c r="N107" s="15"/>
      <c r="P107" s="15"/>
      <c r="R107" s="15"/>
      <c r="T107" s="10"/>
      <c r="U107" s="11"/>
      <c r="V107" s="15"/>
      <c r="W107" s="11"/>
      <c r="X107" s="15"/>
      <c r="Y107" s="11"/>
      <c r="Z107" s="10"/>
      <c r="AA107" s="11"/>
      <c r="AC107" s="11"/>
      <c r="AD107" s="15">
        <f>4800*2</f>
        <v>9600</v>
      </c>
      <c r="AH107" s="10"/>
      <c r="AI107" s="65"/>
      <c r="AJ107" s="10"/>
      <c r="AK107" s="11"/>
      <c r="AL107" s="10"/>
      <c r="AM107" s="65">
        <v>9600</v>
      </c>
      <c r="AN107" s="10"/>
      <c r="AO107" s="11"/>
      <c r="AP107" s="10"/>
      <c r="AQ107" s="11"/>
      <c r="AR107" s="109" t="s">
        <v>183</v>
      </c>
      <c r="AS107" s="31">
        <f aca="true" t="shared" si="23" ref="AS107:AT110">D107+F107+H107+J107+L107+N107+P107+R107+T107+V107+X107+Z107+AB107+AD107+AF107+AH107+AJ107+AL107+AN107+AP107</f>
        <v>19200</v>
      </c>
      <c r="AT107" s="31">
        <f t="shared" si="23"/>
        <v>19200</v>
      </c>
      <c r="AU107" s="31">
        <f aca="true" t="shared" si="24" ref="AU107:AU114">AS107-AT107</f>
        <v>0</v>
      </c>
      <c r="AV107" s="7">
        <f>AV106+(F107+J107-G107-K107)</f>
        <v>-2.0463630789890885E-12</v>
      </c>
      <c r="AW107" s="7">
        <f>AW106+(H107+L107-I107-M107)</f>
        <v>283659.53</v>
      </c>
    </row>
    <row r="108" spans="1:49" ht="12.75">
      <c r="A108" s="96" t="s">
        <v>160</v>
      </c>
      <c r="B108" s="101">
        <v>42004</v>
      </c>
      <c r="C108" s="102">
        <v>85</v>
      </c>
      <c r="D108" s="7"/>
      <c r="E108" s="11"/>
      <c r="F108" s="15"/>
      <c r="G108" s="64"/>
      <c r="H108" s="94"/>
      <c r="I108" s="22">
        <v>74.5</v>
      </c>
      <c r="J108" s="15"/>
      <c r="L108" s="15"/>
      <c r="N108" s="15"/>
      <c r="P108" s="15"/>
      <c r="R108" s="15"/>
      <c r="T108" s="10"/>
      <c r="U108" s="11"/>
      <c r="V108" s="15"/>
      <c r="W108" s="11"/>
      <c r="X108" s="15">
        <v>74.5</v>
      </c>
      <c r="Y108" s="11"/>
      <c r="Z108" s="10"/>
      <c r="AA108" s="11"/>
      <c r="AC108" s="11"/>
      <c r="AH108" s="10"/>
      <c r="AI108" s="65"/>
      <c r="AJ108" s="10"/>
      <c r="AK108" s="11"/>
      <c r="AL108" s="10"/>
      <c r="AM108" s="65"/>
      <c r="AN108" s="10"/>
      <c r="AO108" s="11"/>
      <c r="AP108" s="10"/>
      <c r="AQ108" s="11"/>
      <c r="AR108" s="5"/>
      <c r="AS108" s="31">
        <f>D108+F108+H108+J108+L108+N108+P108+R108+T108+V108+X108+Z108+AB108+AD108+AF108+AH108+AJ108+AL108+AN108+AP108</f>
        <v>74.5</v>
      </c>
      <c r="AT108" s="31">
        <f>E108+G108+I108+K108+M108+O108+Q108+S108+U108+W108+Y108+AA108+AC108+AE108+AG108+AI108+AK108+AM108+AO108+AQ108</f>
        <v>74.5</v>
      </c>
      <c r="AU108" s="31">
        <f t="shared" si="24"/>
        <v>0</v>
      </c>
      <c r="AV108" s="7">
        <f>AV107+(F108+J108-G108-K108)</f>
        <v>-2.0463630789890885E-12</v>
      </c>
      <c r="AW108" s="7">
        <f>AW107+(H108+L108-I108-M108)</f>
        <v>283585.03</v>
      </c>
    </row>
    <row r="109" spans="1:49" ht="12.75">
      <c r="A109" s="96" t="s">
        <v>158</v>
      </c>
      <c r="B109" s="101">
        <v>42004</v>
      </c>
      <c r="C109" s="102">
        <v>86</v>
      </c>
      <c r="D109" s="7"/>
      <c r="E109" s="11"/>
      <c r="F109" s="15"/>
      <c r="G109" s="64"/>
      <c r="H109" s="15"/>
      <c r="I109" s="22">
        <v>3000</v>
      </c>
      <c r="J109" s="15"/>
      <c r="L109" s="15"/>
      <c r="N109" s="15"/>
      <c r="P109" s="15"/>
      <c r="R109" s="15"/>
      <c r="T109" s="10"/>
      <c r="U109" s="11"/>
      <c r="V109" s="15"/>
      <c r="W109" s="11"/>
      <c r="X109" s="15"/>
      <c r="Y109" s="11"/>
      <c r="Z109" s="10"/>
      <c r="AA109" s="11"/>
      <c r="AC109" s="11"/>
      <c r="AH109" s="15">
        <v>3000</v>
      </c>
      <c r="AI109" s="65"/>
      <c r="AJ109" s="10"/>
      <c r="AK109" s="11"/>
      <c r="AL109" s="10"/>
      <c r="AM109" s="65"/>
      <c r="AN109" s="10"/>
      <c r="AO109" s="11"/>
      <c r="AP109" s="10"/>
      <c r="AQ109" s="11"/>
      <c r="AR109" s="108" t="s">
        <v>159</v>
      </c>
      <c r="AS109" s="31">
        <f t="shared" si="23"/>
        <v>3000</v>
      </c>
      <c r="AT109" s="31">
        <f t="shared" si="23"/>
        <v>3000</v>
      </c>
      <c r="AU109" s="31">
        <f t="shared" si="24"/>
        <v>0</v>
      </c>
      <c r="AV109" s="7">
        <f t="shared" si="12"/>
        <v>-2.0463630789890885E-12</v>
      </c>
      <c r="AW109" s="7">
        <f t="shared" si="19"/>
        <v>280585.03</v>
      </c>
    </row>
    <row r="110" spans="1:49" ht="12.75">
      <c r="A110" s="96" t="s">
        <v>59</v>
      </c>
      <c r="B110" s="101">
        <v>42004</v>
      </c>
      <c r="C110" s="102">
        <v>87</v>
      </c>
      <c r="D110" s="7"/>
      <c r="E110" s="11"/>
      <c r="F110" s="15"/>
      <c r="G110" s="64"/>
      <c r="H110" s="15"/>
      <c r="I110" s="22">
        <v>6</v>
      </c>
      <c r="J110" s="15"/>
      <c r="L110" s="15"/>
      <c r="N110" s="15"/>
      <c r="P110" s="15"/>
      <c r="R110" s="15"/>
      <c r="T110" s="10"/>
      <c r="U110" s="11"/>
      <c r="V110" s="15"/>
      <c r="W110" s="11"/>
      <c r="X110" s="15">
        <v>6</v>
      </c>
      <c r="Y110" s="11"/>
      <c r="Z110" s="10"/>
      <c r="AA110" s="11"/>
      <c r="AC110" s="11"/>
      <c r="AH110" s="10"/>
      <c r="AI110" s="65"/>
      <c r="AJ110" s="10"/>
      <c r="AK110" s="11"/>
      <c r="AL110" s="10"/>
      <c r="AM110" s="65"/>
      <c r="AN110" s="10"/>
      <c r="AO110" s="11"/>
      <c r="AP110" s="10"/>
      <c r="AQ110" s="11"/>
      <c r="AR110" s="5"/>
      <c r="AS110" s="31">
        <f t="shared" si="23"/>
        <v>6</v>
      </c>
      <c r="AT110" s="31">
        <f t="shared" si="23"/>
        <v>6</v>
      </c>
      <c r="AU110" s="31">
        <f t="shared" si="24"/>
        <v>0</v>
      </c>
      <c r="AV110" s="7">
        <f>AV109+(F110+J110-G110-K110)</f>
        <v>-2.0463630789890885E-12</v>
      </c>
      <c r="AW110" s="7">
        <f>AW109+(H110+L110-I110-M110)</f>
        <v>280579.03</v>
      </c>
    </row>
    <row r="111" spans="1:50" ht="12.75">
      <c r="A111" s="96" t="s">
        <v>172</v>
      </c>
      <c r="B111" s="101">
        <v>42004</v>
      </c>
      <c r="C111" s="102">
        <v>88</v>
      </c>
      <c r="D111" s="7"/>
      <c r="E111" s="11"/>
      <c r="F111" s="15"/>
      <c r="G111" s="64"/>
      <c r="H111" s="15">
        <v>1043.24</v>
      </c>
      <c r="I111" s="22"/>
      <c r="J111" s="15"/>
      <c r="L111" s="15"/>
      <c r="N111" s="15"/>
      <c r="P111" s="15"/>
      <c r="R111" s="15"/>
      <c r="T111" s="10"/>
      <c r="U111" s="11"/>
      <c r="V111" s="15"/>
      <c r="W111" s="11"/>
      <c r="X111" s="15"/>
      <c r="Y111" s="11">
        <v>1043.24</v>
      </c>
      <c r="Z111" s="10"/>
      <c r="AA111" s="11"/>
      <c r="AC111" s="11"/>
      <c r="AH111" s="10"/>
      <c r="AI111" s="65"/>
      <c r="AJ111" s="10"/>
      <c r="AK111" s="11"/>
      <c r="AL111" s="10"/>
      <c r="AM111" s="65"/>
      <c r="AN111" s="10"/>
      <c r="AO111" s="11"/>
      <c r="AP111" s="10"/>
      <c r="AQ111" s="11"/>
      <c r="AR111" s="5"/>
      <c r="AS111" s="31">
        <f aca="true" t="shared" si="25" ref="AS111:AT114">D111+F111+H111+J111+L111+N111+P111+R111+T111+V111+X111+Z111+AB111+AD111+AF111+AH111+AJ111+AL111+AN111+AP111</f>
        <v>1043.24</v>
      </c>
      <c r="AT111" s="31">
        <f t="shared" si="25"/>
        <v>1043.24</v>
      </c>
      <c r="AU111" s="31">
        <f t="shared" si="24"/>
        <v>0</v>
      </c>
      <c r="AV111" s="7">
        <f t="shared" si="12"/>
        <v>-2.0463630789890885E-12</v>
      </c>
      <c r="AW111" s="71">
        <f t="shared" si="19"/>
        <v>281622.27</v>
      </c>
      <c r="AX111">
        <v>281622.27</v>
      </c>
    </row>
    <row r="112" spans="1:49" ht="12.75">
      <c r="A112" s="96" t="s">
        <v>208</v>
      </c>
      <c r="B112" s="101">
        <v>42004</v>
      </c>
      <c r="C112" s="102">
        <v>89</v>
      </c>
      <c r="D112" s="7"/>
      <c r="E112" s="11"/>
      <c r="F112" s="15"/>
      <c r="G112" s="64"/>
      <c r="H112" s="15"/>
      <c r="I112" s="22"/>
      <c r="J112" s="15"/>
      <c r="L112" s="15"/>
      <c r="N112" s="15"/>
      <c r="O112" s="22">
        <f>1223+700+700+1233+1010+0+810+1696+700+810+1427+1101+1094+4000</f>
        <v>16504</v>
      </c>
      <c r="P112" s="15"/>
      <c r="R112" s="15"/>
      <c r="T112" s="10"/>
      <c r="U112" s="11"/>
      <c r="V112" s="15"/>
      <c r="W112" s="11"/>
      <c r="X112" s="15"/>
      <c r="Y112" s="11"/>
      <c r="Z112" s="10"/>
      <c r="AA112" s="11"/>
      <c r="AC112" s="11"/>
      <c r="AD112" s="15">
        <f>1223+700+700+1233+1010+0+810+1696+700+810+1427+1101+1094+4000</f>
        <v>16504</v>
      </c>
      <c r="AH112" s="10"/>
      <c r="AI112" s="65"/>
      <c r="AJ112" s="10"/>
      <c r="AK112" s="11"/>
      <c r="AL112" s="10"/>
      <c r="AM112" s="65"/>
      <c r="AN112" s="10"/>
      <c r="AO112" s="11"/>
      <c r="AP112" s="10"/>
      <c r="AQ112" s="11"/>
      <c r="AR112" s="108" t="s">
        <v>186</v>
      </c>
      <c r="AS112" s="31">
        <f t="shared" si="25"/>
        <v>16504</v>
      </c>
      <c r="AT112" s="31">
        <f t="shared" si="25"/>
        <v>16504</v>
      </c>
      <c r="AU112" s="31">
        <f>AS112-AT112</f>
        <v>0</v>
      </c>
      <c r="AV112" s="7">
        <f>AV111+(F112+J112-G112-K112)</f>
        <v>-2.0463630789890885E-12</v>
      </c>
      <c r="AW112" s="7">
        <f>AW111+(H112+L112-I112-M112)</f>
        <v>281622.27</v>
      </c>
    </row>
    <row r="113" spans="1:49" ht="12.75">
      <c r="A113" s="96" t="s">
        <v>207</v>
      </c>
      <c r="B113" s="101">
        <v>42004</v>
      </c>
      <c r="C113" s="102">
        <v>90</v>
      </c>
      <c r="D113" s="7"/>
      <c r="E113" s="11"/>
      <c r="F113" s="15"/>
      <c r="G113" s="64"/>
      <c r="H113" s="15"/>
      <c r="I113" s="22"/>
      <c r="J113" s="15"/>
      <c r="L113" s="15"/>
      <c r="N113" s="15"/>
      <c r="O113" s="22">
        <f>5000+6500+500</f>
        <v>12000</v>
      </c>
      <c r="P113" s="15"/>
      <c r="R113" s="15"/>
      <c r="T113" s="10"/>
      <c r="U113" s="11"/>
      <c r="V113" s="15"/>
      <c r="W113" s="11"/>
      <c r="X113" s="15"/>
      <c r="Y113" s="11"/>
      <c r="Z113" s="10"/>
      <c r="AA113" s="11"/>
      <c r="AC113" s="11"/>
      <c r="AD113" s="15">
        <f>5000+6500+500</f>
        <v>12000</v>
      </c>
      <c r="AH113" s="10"/>
      <c r="AI113" s="65"/>
      <c r="AJ113" s="10"/>
      <c r="AK113" s="11"/>
      <c r="AL113" s="10"/>
      <c r="AM113" s="65"/>
      <c r="AN113" s="10"/>
      <c r="AO113" s="11"/>
      <c r="AP113" s="10"/>
      <c r="AQ113" s="11"/>
      <c r="AR113" s="108" t="s">
        <v>186</v>
      </c>
      <c r="AS113" s="31">
        <f>D113+F113+H113+J113+L113+N113+P113+R113+T113+V113+X113+Z113+AB113+AD113+AF113+AH113+AJ113+AL113+AN113+AP113</f>
        <v>12000</v>
      </c>
      <c r="AT113" s="31">
        <f>E113+G113+I113+K113+M113+O113+Q113+S113+U113+W113+Y113+AA113+AC113+AE113+AG113+AI113+AK113+AM113+AO113+AQ113</f>
        <v>12000</v>
      </c>
      <c r="AU113" s="31">
        <f>AS113-AT113</f>
        <v>0</v>
      </c>
      <c r="AV113" s="7">
        <f>AV112+(F113+J113-G113-K113)</f>
        <v>-2.0463630789890885E-12</v>
      </c>
      <c r="AW113" s="7">
        <f>AW112+(H113+L113-I113-M113)</f>
        <v>281622.27</v>
      </c>
    </row>
    <row r="114" spans="1:49" ht="12.75">
      <c r="A114" s="96" t="s">
        <v>180</v>
      </c>
      <c r="B114" s="101">
        <v>42004</v>
      </c>
      <c r="C114" s="102">
        <v>91</v>
      </c>
      <c r="D114" s="7">
        <f>67351.9-D4</f>
        <v>1297.7799999999988</v>
      </c>
      <c r="E114" s="11"/>
      <c r="F114" s="15"/>
      <c r="G114" s="64"/>
      <c r="H114" s="15"/>
      <c r="I114" s="22"/>
      <c r="J114" s="15"/>
      <c r="L114" s="15"/>
      <c r="N114" s="15"/>
      <c r="P114" s="15"/>
      <c r="R114" s="15"/>
      <c r="T114" s="10"/>
      <c r="U114" s="11"/>
      <c r="V114" s="15"/>
      <c r="W114" s="11"/>
      <c r="X114" s="15"/>
      <c r="Y114" s="11">
        <v>1297.78</v>
      </c>
      <c r="Z114" s="10"/>
      <c r="AA114" s="11"/>
      <c r="AC114" s="11"/>
      <c r="AH114" s="10"/>
      <c r="AI114" s="65"/>
      <c r="AJ114" s="10"/>
      <c r="AK114" s="11"/>
      <c r="AL114" s="10"/>
      <c r="AM114" s="65"/>
      <c r="AN114" s="10"/>
      <c r="AO114" s="11"/>
      <c r="AP114" s="10"/>
      <c r="AQ114" s="11"/>
      <c r="AR114" s="5"/>
      <c r="AS114" s="31">
        <f t="shared" si="25"/>
        <v>1297.7799999999988</v>
      </c>
      <c r="AT114" s="31">
        <f t="shared" si="25"/>
        <v>1297.78</v>
      </c>
      <c r="AU114" s="31">
        <f t="shared" si="24"/>
        <v>0</v>
      </c>
      <c r="AV114" s="7">
        <f>AV111+(F114+J114-G114-K114)</f>
        <v>-2.0463630789890885E-12</v>
      </c>
      <c r="AW114" s="7">
        <f>AW111+(H114+L114-I114-M114)</f>
        <v>281622.27</v>
      </c>
    </row>
    <row r="115" spans="1:48" ht="12.75">
      <c r="A115" s="96"/>
      <c r="B115" s="101"/>
      <c r="C115" s="102"/>
      <c r="D115" s="7"/>
      <c r="E115" s="11"/>
      <c r="F115" s="15"/>
      <c r="G115" s="64"/>
      <c r="H115" s="15"/>
      <c r="I115" s="22"/>
      <c r="J115" s="15"/>
      <c r="L115" s="15"/>
      <c r="N115" s="15"/>
      <c r="P115" s="15"/>
      <c r="R115" s="15"/>
      <c r="T115" s="10"/>
      <c r="U115" s="11"/>
      <c r="V115" s="15"/>
      <c r="W115" s="11"/>
      <c r="X115" s="15"/>
      <c r="Y115" s="11"/>
      <c r="Z115" s="10"/>
      <c r="AA115" s="11"/>
      <c r="AC115" s="11"/>
      <c r="AH115" s="10"/>
      <c r="AI115" s="65"/>
      <c r="AJ115" s="10"/>
      <c r="AK115" s="11"/>
      <c r="AL115" s="10"/>
      <c r="AM115" s="65"/>
      <c r="AN115" s="10"/>
      <c r="AO115" s="11"/>
      <c r="AP115" s="10"/>
      <c r="AQ115" s="11"/>
      <c r="AR115" s="5"/>
      <c r="AS115" s="31"/>
      <c r="AT115" s="31"/>
      <c r="AU115" s="31"/>
      <c r="AV115" s="7"/>
    </row>
    <row r="116" spans="1:47" ht="12.75">
      <c r="A116" s="55" t="s">
        <v>4</v>
      </c>
      <c r="B116" s="56"/>
      <c r="C116" s="51"/>
      <c r="D116" s="97">
        <f>SUM(D4:D115)</f>
        <v>67351.9</v>
      </c>
      <c r="E116" s="19"/>
      <c r="F116" s="19">
        <f>SUM(F4:F115)</f>
        <v>9913.93</v>
      </c>
      <c r="G116" s="19"/>
      <c r="H116" s="19">
        <f>SUM(H4:H115)</f>
        <v>251392.24</v>
      </c>
      <c r="I116" s="19"/>
      <c r="J116" s="19">
        <f>SUM(J4:J115)</f>
        <v>36666.67</v>
      </c>
      <c r="K116" s="19"/>
      <c r="L116" s="19">
        <f>SUM(L4:L115)</f>
        <v>165936.41</v>
      </c>
      <c r="M116" s="19"/>
      <c r="N116" s="19">
        <f>SUM(N4:N115)</f>
        <v>0</v>
      </c>
      <c r="O116" s="19"/>
      <c r="P116" s="19">
        <f>SUM(P4:P115)</f>
        <v>0</v>
      </c>
      <c r="Q116" s="19"/>
      <c r="R116" s="19">
        <f>SUM(R4:R115)</f>
        <v>27487</v>
      </c>
      <c r="S116" s="19"/>
      <c r="T116" s="19">
        <f>SUM(T4:T115)</f>
        <v>0</v>
      </c>
      <c r="U116" s="19"/>
      <c r="V116" s="19">
        <f>SUM(V4:V115)</f>
        <v>1188</v>
      </c>
      <c r="W116" s="19"/>
      <c r="X116" s="19">
        <f>SUM(X4:X115)</f>
        <v>4306.5</v>
      </c>
      <c r="Y116" s="19"/>
      <c r="Z116" s="19">
        <f>SUM(Z4:Z115)</f>
        <v>0</v>
      </c>
      <c r="AA116" s="19"/>
      <c r="AB116" s="19">
        <f>SUM(AB4:AB115)</f>
        <v>1050</v>
      </c>
      <c r="AC116" s="19"/>
      <c r="AD116" s="19">
        <f>SUM(AD4:AD115)</f>
        <v>64323.8</v>
      </c>
      <c r="AE116" s="19"/>
      <c r="AF116" s="19">
        <f>SUM(AF4:AF115)</f>
        <v>0</v>
      </c>
      <c r="AG116" s="19"/>
      <c r="AH116" s="19">
        <f>SUM(AH4:AH115)</f>
        <v>6813</v>
      </c>
      <c r="AI116" s="19"/>
      <c r="AJ116" s="19">
        <f>SUM(AJ4:AJ115)</f>
        <v>58100.079999999994</v>
      </c>
      <c r="AK116" s="19"/>
      <c r="AL116" s="19">
        <f>SUM(AL4:AL115)</f>
        <v>374</v>
      </c>
      <c r="AM116" s="19"/>
      <c r="AN116" s="19">
        <f>SUM(AN4:AN115)</f>
        <v>3480</v>
      </c>
      <c r="AO116" s="19"/>
      <c r="AP116" s="19">
        <f>SUM(AP4:AP115)</f>
        <v>1718</v>
      </c>
      <c r="AQ116" s="19"/>
      <c r="AR116" s="1"/>
      <c r="AS116" s="31"/>
      <c r="AT116" s="31"/>
      <c r="AU116" s="31"/>
    </row>
    <row r="117" spans="1:47" ht="13.5" thickBot="1">
      <c r="A117" s="52" t="s">
        <v>5</v>
      </c>
      <c r="B117" s="53"/>
      <c r="C117" s="54"/>
      <c r="D117" s="20"/>
      <c r="E117" s="21">
        <f>SUM(E4:E115)</f>
        <v>0</v>
      </c>
      <c r="F117" s="21"/>
      <c r="G117" s="21">
        <f>SUM(G4:G115)</f>
        <v>9913.93</v>
      </c>
      <c r="H117" s="21"/>
      <c r="I117" s="21">
        <f>SUM(I4:I115)</f>
        <v>99886.58000000002</v>
      </c>
      <c r="J117" s="21"/>
      <c r="K117" s="21">
        <f>SUM(K4:K115)</f>
        <v>36666.67</v>
      </c>
      <c r="L117" s="21"/>
      <c r="M117" s="21">
        <f>SUM(M4:M115)</f>
        <v>35819.8</v>
      </c>
      <c r="N117" s="21"/>
      <c r="O117" s="118">
        <f>SUM(O4:O115)</f>
        <v>28504</v>
      </c>
      <c r="P117" s="21"/>
      <c r="Q117" s="21">
        <f>SUM(Q4:Q115)</f>
        <v>30525</v>
      </c>
      <c r="R117" s="21"/>
      <c r="S117" s="21">
        <f>SUM(S4:S115)</f>
        <v>6450</v>
      </c>
      <c r="T117" s="21"/>
      <c r="U117" s="21">
        <f>SUM(U4:U115)</f>
        <v>3700</v>
      </c>
      <c r="V117" s="21"/>
      <c r="W117" s="21">
        <f>SUM(W4:W115)</f>
        <v>0</v>
      </c>
      <c r="X117" s="21"/>
      <c r="Y117" s="21">
        <f>SUM(Y4:Y115)</f>
        <v>7172.03</v>
      </c>
      <c r="Z117" s="21"/>
      <c r="AA117" s="21">
        <f>SUM(AA4:AA115)</f>
        <v>0</v>
      </c>
      <c r="AB117" s="21"/>
      <c r="AC117" s="21">
        <f>SUM(AC4:AC115)</f>
        <v>0</v>
      </c>
      <c r="AD117" s="21"/>
      <c r="AE117" s="21">
        <f>SUM(AE4:AE115)</f>
        <v>34000</v>
      </c>
      <c r="AF117" s="21"/>
      <c r="AG117" s="21">
        <f>SUM(AG4:AG115)</f>
        <v>8500</v>
      </c>
      <c r="AH117" s="21"/>
      <c r="AI117" s="21">
        <f>SUM(AI4:AI115)</f>
        <v>0</v>
      </c>
      <c r="AJ117" s="21"/>
      <c r="AK117" s="21">
        <f>SUM(AK4:AK115)</f>
        <v>50334</v>
      </c>
      <c r="AL117" s="21"/>
      <c r="AM117" s="21">
        <f>SUM(AM4:AM115)</f>
        <v>9600</v>
      </c>
      <c r="AN117" s="21"/>
      <c r="AO117" s="21">
        <f>SUM(AO4:AO115)</f>
        <v>0</v>
      </c>
      <c r="AP117" s="21"/>
      <c r="AQ117" s="21">
        <f>SUM(AQ4:AQ115)</f>
        <v>1350</v>
      </c>
      <c r="AR117" s="1"/>
      <c r="AS117" s="31"/>
      <c r="AT117" s="31"/>
      <c r="AU117" s="31"/>
    </row>
    <row r="118" spans="1:47" s="4" customFormat="1" ht="13.5" thickTop="1">
      <c r="A118" s="55"/>
      <c r="B118" s="56"/>
      <c r="C118" s="57"/>
      <c r="D118" s="13"/>
      <c r="E118" s="14"/>
      <c r="F118" s="13"/>
      <c r="G118" s="23"/>
      <c r="H118" s="70"/>
      <c r="I118" s="70"/>
      <c r="J118" s="70"/>
      <c r="K118" s="70"/>
      <c r="L118" s="13"/>
      <c r="M118" s="23"/>
      <c r="N118" s="13"/>
      <c r="O118" s="23"/>
      <c r="P118" s="13" t="s">
        <v>189</v>
      </c>
      <c r="Q118" s="23">
        <v>50</v>
      </c>
      <c r="R118" s="13"/>
      <c r="S118" s="23"/>
      <c r="T118" s="13"/>
      <c r="U118" s="14"/>
      <c r="V118" s="13"/>
      <c r="W118" s="14"/>
      <c r="X118" s="13"/>
      <c r="Y118" s="14"/>
      <c r="Z118" s="13"/>
      <c r="AA118" s="14"/>
      <c r="AB118" s="59"/>
      <c r="AC118" s="14"/>
      <c r="AD118" s="59"/>
      <c r="AE118" s="23"/>
      <c r="AF118" s="59"/>
      <c r="AG118" s="23"/>
      <c r="AH118" s="13"/>
      <c r="AI118" s="14"/>
      <c r="AJ118" s="13"/>
      <c r="AK118" s="14"/>
      <c r="AL118" s="13"/>
      <c r="AM118" s="14"/>
      <c r="AN118" s="13"/>
      <c r="AO118" s="14"/>
      <c r="AP118" s="13"/>
      <c r="AQ118" s="14">
        <f>AQ117/150</f>
        <v>9</v>
      </c>
      <c r="AR118" s="1"/>
      <c r="AS118" s="31"/>
      <c r="AT118" s="31"/>
      <c r="AU118" s="31"/>
    </row>
    <row r="119" spans="1:47" ht="13.5" thickBot="1">
      <c r="A119" s="55"/>
      <c r="B119" s="56"/>
      <c r="C119" s="57"/>
      <c r="D119" s="13"/>
      <c r="E119" s="14"/>
      <c r="F119" s="13"/>
      <c r="G119" s="23"/>
      <c r="H119" s="70"/>
      <c r="I119" s="70"/>
      <c r="J119" s="70"/>
      <c r="K119" s="70"/>
      <c r="L119" s="13"/>
      <c r="M119" s="23"/>
      <c r="N119" s="13"/>
      <c r="O119" s="23"/>
      <c r="P119" s="13" t="s">
        <v>190</v>
      </c>
      <c r="Q119" s="23">
        <v>200</v>
      </c>
      <c r="R119" s="13"/>
      <c r="S119" s="23"/>
      <c r="T119" s="13"/>
      <c r="U119" s="14"/>
      <c r="V119" s="13"/>
      <c r="W119" s="14"/>
      <c r="X119" s="13"/>
      <c r="Y119" s="14"/>
      <c r="Z119" s="13" t="s">
        <v>43</v>
      </c>
      <c r="AA119" s="14"/>
      <c r="AB119" s="59"/>
      <c r="AC119" s="14"/>
      <c r="AD119" s="59"/>
      <c r="AE119" s="23"/>
      <c r="AF119" s="59"/>
      <c r="AG119" s="23"/>
      <c r="AH119" s="13"/>
      <c r="AI119" s="14"/>
      <c r="AJ119" s="13"/>
      <c r="AK119" s="14"/>
      <c r="AL119" s="13"/>
      <c r="AM119" s="14"/>
      <c r="AN119" s="13"/>
      <c r="AO119" s="14"/>
      <c r="AP119" s="13"/>
      <c r="AQ119" s="14"/>
      <c r="AS119" s="31"/>
      <c r="AT119" s="31"/>
      <c r="AU119" s="31"/>
    </row>
    <row r="120" spans="1:47" ht="13.5" thickBot="1">
      <c r="A120" s="124" t="s">
        <v>161</v>
      </c>
      <c r="B120" s="125"/>
      <c r="C120" s="126"/>
      <c r="D120" s="127"/>
      <c r="E120" s="128">
        <f>D116-E117</f>
        <v>67351.9</v>
      </c>
      <c r="F120" s="127"/>
      <c r="G120" s="129">
        <f>F116-G117</f>
        <v>0</v>
      </c>
      <c r="H120" s="130"/>
      <c r="I120" s="131">
        <f>H116-I117</f>
        <v>151505.65999999997</v>
      </c>
      <c r="J120" s="130"/>
      <c r="K120" s="129">
        <f>J116-K117</f>
        <v>0</v>
      </c>
      <c r="L120" s="127"/>
      <c r="M120" s="131">
        <f>L116-M117</f>
        <v>130116.61</v>
      </c>
      <c r="N120" s="127"/>
      <c r="O120" s="131">
        <f>N116-O117</f>
        <v>-28504</v>
      </c>
      <c r="P120" s="127"/>
      <c r="Q120" s="129"/>
      <c r="R120" s="127"/>
      <c r="S120" s="129"/>
      <c r="T120" s="127"/>
      <c r="U120" s="132"/>
      <c r="V120" s="127"/>
      <c r="W120" s="132"/>
      <c r="X120" s="127"/>
      <c r="Y120" s="132"/>
      <c r="Z120" s="127"/>
      <c r="AA120" s="132"/>
      <c r="AB120" s="127"/>
      <c r="AC120" s="132"/>
      <c r="AD120" s="127"/>
      <c r="AE120" s="129"/>
      <c r="AF120" s="127"/>
      <c r="AG120" s="129"/>
      <c r="AH120" s="127"/>
      <c r="AI120" s="132"/>
      <c r="AJ120" s="127"/>
      <c r="AK120" s="132"/>
      <c r="AL120" s="127"/>
      <c r="AM120" s="132"/>
      <c r="AN120" s="127"/>
      <c r="AO120" s="128">
        <f>AN116-AO117</f>
        <v>3480</v>
      </c>
      <c r="AP120" s="127"/>
      <c r="AQ120" s="132"/>
      <c r="AR120" s="133"/>
      <c r="AS120" s="134">
        <f>SUM(D120:AR120)</f>
        <v>323950.17</v>
      </c>
      <c r="AT120" s="31"/>
      <c r="AU120" s="31"/>
    </row>
    <row r="121" spans="1:47" ht="12.75">
      <c r="A121" s="55"/>
      <c r="B121" s="56"/>
      <c r="C121" s="57"/>
      <c r="D121" s="12"/>
      <c r="E121" s="98"/>
      <c r="F121" s="12"/>
      <c r="G121" s="24"/>
      <c r="H121" s="73"/>
      <c r="I121" s="73"/>
      <c r="J121" s="73"/>
      <c r="K121" s="73"/>
      <c r="L121" s="12"/>
      <c r="M121" s="24"/>
      <c r="N121" s="12"/>
      <c r="O121" s="24"/>
      <c r="P121" s="12"/>
      <c r="Q121" s="24"/>
      <c r="R121" s="12"/>
      <c r="S121" s="24"/>
      <c r="T121" s="12"/>
      <c r="U121" s="16"/>
      <c r="V121" s="12"/>
      <c r="W121" s="16"/>
      <c r="X121" s="12"/>
      <c r="Y121" s="16"/>
      <c r="Z121" s="12"/>
      <c r="AA121" s="16"/>
      <c r="AB121" s="60"/>
      <c r="AC121" s="16"/>
      <c r="AD121" s="60"/>
      <c r="AE121" s="24"/>
      <c r="AF121" s="60"/>
      <c r="AG121" s="24"/>
      <c r="AH121" s="12"/>
      <c r="AI121" s="16"/>
      <c r="AJ121" s="12"/>
      <c r="AK121" s="16"/>
      <c r="AL121" s="12"/>
      <c r="AM121" s="16"/>
      <c r="AN121" s="12"/>
      <c r="AO121" s="16"/>
      <c r="AP121" s="12"/>
      <c r="AQ121" s="16"/>
      <c r="AR121" s="4"/>
      <c r="AS121" s="31"/>
      <c r="AT121" s="31"/>
      <c r="AU121" s="31"/>
    </row>
    <row r="122" spans="1:47" ht="12.75">
      <c r="A122" s="112" t="s">
        <v>188</v>
      </c>
      <c r="B122" s="113"/>
      <c r="C122" s="114"/>
      <c r="D122" s="115"/>
      <c r="E122" s="116"/>
      <c r="F122" s="115"/>
      <c r="G122" s="117">
        <f>I120+M120</f>
        <v>281622.26999999996</v>
      </c>
      <c r="AS122" s="32"/>
      <c r="AT122" s="32"/>
      <c r="AU122" s="31"/>
    </row>
    <row r="124" spans="3:15" ht="12.75">
      <c r="C124" s="80"/>
      <c r="N124" s="110" t="s">
        <v>51</v>
      </c>
      <c r="O124" s="111">
        <f>(O117)-(N116)</f>
        <v>28504</v>
      </c>
    </row>
    <row r="125" ht="12.75">
      <c r="C125" s="80"/>
    </row>
    <row r="126" ht="12.75">
      <c r="C126" s="80"/>
    </row>
  </sheetData>
  <sheetProtection/>
  <mergeCells count="40">
    <mergeCell ref="Z1:AA1"/>
    <mergeCell ref="L1:M1"/>
    <mergeCell ref="AD2:AE2"/>
    <mergeCell ref="AB2:AC2"/>
    <mergeCell ref="Z2:AA2"/>
    <mergeCell ref="N1:O1"/>
    <mergeCell ref="AD1:AE1"/>
    <mergeCell ref="V1:W1"/>
    <mergeCell ref="X1:Y1"/>
    <mergeCell ref="AB1:AC1"/>
    <mergeCell ref="AP1:AQ1"/>
    <mergeCell ref="AP2:AQ2"/>
    <mergeCell ref="AL2:AM2"/>
    <mergeCell ref="AH2:AI2"/>
    <mergeCell ref="AJ2:AK2"/>
    <mergeCell ref="AN2:AO2"/>
    <mergeCell ref="AL1:AM1"/>
    <mergeCell ref="X2:Y2"/>
    <mergeCell ref="R2:S2"/>
    <mergeCell ref="P2:Q2"/>
    <mergeCell ref="AN1:AO1"/>
    <mergeCell ref="AJ1:AK1"/>
    <mergeCell ref="AH1:AI1"/>
    <mergeCell ref="AF1:AG1"/>
    <mergeCell ref="P1:Q1"/>
    <mergeCell ref="T1:U1"/>
    <mergeCell ref="AF2:AG2"/>
    <mergeCell ref="V2:W2"/>
    <mergeCell ref="D2:E2"/>
    <mergeCell ref="T2:U2"/>
    <mergeCell ref="F2:G2"/>
    <mergeCell ref="L2:M2"/>
    <mergeCell ref="N2:O2"/>
    <mergeCell ref="J2:K2"/>
    <mergeCell ref="H2:I2"/>
    <mergeCell ref="D1:E1"/>
    <mergeCell ref="F1:G1"/>
    <mergeCell ref="R1:S1"/>
    <mergeCell ref="J1:K1"/>
    <mergeCell ref="H1:I1"/>
  </mergeCells>
  <printOptions gridLines="1"/>
  <pageMargins left="0.4330708661417323" right="0.15748031496062992" top="0.6299212598425197" bottom="0.31496062992125984" header="0.15748031496062992" footer="0.11811023622047245"/>
  <pageSetup horizontalDpi="200" verticalDpi="200" orientation="landscape" paperSize="9" r:id="rId3"/>
  <headerFooter alignWithMargins="0">
    <oddHeader>&amp;L&amp;"Arial,Halvfet"&amp;12NOF Aust-Agder
Hovedregnskap 01.01.12-31.12.12
</oddHeader>
    <oddFooter>&amp;L&amp;D</oddFooter>
  </headerFooter>
  <legacyDrawing r:id="rId2"/>
</worksheet>
</file>

<file path=xl/worksheets/sheet3.xml><?xml version="1.0" encoding="utf-8"?>
<worksheet xmlns="http://schemas.openxmlformats.org/spreadsheetml/2006/main" xmlns:r="http://schemas.openxmlformats.org/officeDocument/2006/relationships">
  <dimension ref="A1:M70"/>
  <sheetViews>
    <sheetView tabSelected="1" zoomScale="115" zoomScaleNormal="115" zoomScalePageLayoutView="0" workbookViewId="0" topLeftCell="A25">
      <selection activeCell="B26" sqref="B26"/>
    </sheetView>
  </sheetViews>
  <sheetFormatPr defaultColWidth="11.421875" defaultRowHeight="12.75"/>
  <cols>
    <col min="1" max="1" width="6.140625" style="0" customWidth="1"/>
    <col min="2" max="2" width="32.00390625" style="0" customWidth="1"/>
    <col min="3" max="3" width="2.8515625" style="0" customWidth="1"/>
    <col min="4" max="4" width="10.8515625" style="0" customWidth="1"/>
    <col min="5" max="5" width="3.28125" style="0" customWidth="1"/>
    <col min="6" max="6" width="3.7109375" style="0" customWidth="1"/>
    <col min="7" max="7" width="2.8515625" style="0" customWidth="1"/>
    <col min="8" max="8" width="10.8515625" style="0" customWidth="1"/>
    <col min="9" max="9" width="5.00390625" style="0" customWidth="1"/>
    <col min="10" max="10" width="2.8515625" style="0" customWidth="1"/>
    <col min="11" max="11" width="10.8515625" style="0" customWidth="1"/>
  </cols>
  <sheetData>
    <row r="1" spans="2:9" ht="12.75">
      <c r="B1" s="26" t="s">
        <v>18</v>
      </c>
      <c r="C1" s="26"/>
      <c r="D1" s="26"/>
      <c r="E1" s="26"/>
      <c r="F1" s="119" t="s">
        <v>35</v>
      </c>
      <c r="G1" s="26"/>
      <c r="H1" s="26"/>
      <c r="I1" s="119" t="s">
        <v>181</v>
      </c>
    </row>
    <row r="2" spans="2:9" ht="12.75">
      <c r="B2" t="s">
        <v>15</v>
      </c>
      <c r="F2">
        <v>5</v>
      </c>
      <c r="G2" t="s">
        <v>20</v>
      </c>
      <c r="H2" s="7">
        <f>'2014'!$Q$117</f>
        <v>30525</v>
      </c>
      <c r="I2" s="76">
        <v>1</v>
      </c>
    </row>
    <row r="3" spans="2:9" ht="12.75">
      <c r="B3" t="s">
        <v>21</v>
      </c>
      <c r="F3">
        <v>6</v>
      </c>
      <c r="G3" t="s">
        <v>22</v>
      </c>
      <c r="H3" s="7">
        <f>'2014'!$S$117</f>
        <v>6450</v>
      </c>
      <c r="I3" s="76"/>
    </row>
    <row r="4" spans="2:9" ht="12.75">
      <c r="B4" t="s">
        <v>23</v>
      </c>
      <c r="F4">
        <v>7</v>
      </c>
      <c r="G4" t="s">
        <v>22</v>
      </c>
      <c r="H4" s="7">
        <f>'2014'!$U$117</f>
        <v>3700</v>
      </c>
      <c r="I4" s="76"/>
    </row>
    <row r="5" spans="2:13" ht="12.75">
      <c r="B5" t="s">
        <v>32</v>
      </c>
      <c r="F5">
        <v>8</v>
      </c>
      <c r="G5" t="s">
        <v>22</v>
      </c>
      <c r="H5" s="7">
        <f>'2014'!$W$117</f>
        <v>0</v>
      </c>
      <c r="I5" s="76"/>
      <c r="M5" s="7"/>
    </row>
    <row r="6" spans="2:9" ht="12.75">
      <c r="B6" t="s">
        <v>191</v>
      </c>
      <c r="F6">
        <v>9</v>
      </c>
      <c r="G6" s="2" t="s">
        <v>22</v>
      </c>
      <c r="H6" s="9">
        <f>'2014'!$Y$117</f>
        <v>7172.03</v>
      </c>
      <c r="I6" s="76">
        <v>4</v>
      </c>
    </row>
    <row r="7" spans="2:9" ht="12.75">
      <c r="B7" t="s">
        <v>50</v>
      </c>
      <c r="F7">
        <v>10</v>
      </c>
      <c r="G7" t="s">
        <v>22</v>
      </c>
      <c r="H7" s="7">
        <f>'2014'!$AA$117</f>
        <v>0</v>
      </c>
      <c r="I7" s="76"/>
    </row>
    <row r="8" spans="2:13" ht="12.75">
      <c r="B8" t="s">
        <v>8</v>
      </c>
      <c r="F8">
        <v>11</v>
      </c>
      <c r="G8" t="s">
        <v>22</v>
      </c>
      <c r="H8" s="7">
        <f>'2014'!$AC$117</f>
        <v>0</v>
      </c>
      <c r="I8" s="76"/>
      <c r="J8" t="s">
        <v>43</v>
      </c>
      <c r="M8" t="s">
        <v>43</v>
      </c>
    </row>
    <row r="9" spans="2:9" ht="12.75">
      <c r="B9" t="s">
        <v>19</v>
      </c>
      <c r="F9">
        <v>13</v>
      </c>
      <c r="G9" t="s">
        <v>22</v>
      </c>
      <c r="H9" s="7">
        <f>'2014'!$AG$117</f>
        <v>8500</v>
      </c>
      <c r="I9" s="76"/>
    </row>
    <row r="10" spans="2:9" ht="12.75">
      <c r="B10" t="s">
        <v>16</v>
      </c>
      <c r="F10">
        <v>14</v>
      </c>
      <c r="G10" t="s">
        <v>22</v>
      </c>
      <c r="H10" s="7">
        <f>'2014'!$AI$117</f>
        <v>0</v>
      </c>
      <c r="I10" s="76"/>
    </row>
    <row r="11" spans="2:13" ht="12.75">
      <c r="B11" t="s">
        <v>195</v>
      </c>
      <c r="F11">
        <v>15</v>
      </c>
      <c r="G11" t="s">
        <v>22</v>
      </c>
      <c r="H11" s="7">
        <f>'2014'!$AK$117</f>
        <v>50334</v>
      </c>
      <c r="I11" s="76">
        <v>2</v>
      </c>
      <c r="M11" s="66"/>
    </row>
    <row r="12" spans="2:9" ht="12.75">
      <c r="B12" s="3" t="s">
        <v>192</v>
      </c>
      <c r="F12">
        <v>16</v>
      </c>
      <c r="G12" s="2" t="s">
        <v>22</v>
      </c>
      <c r="H12" s="9">
        <f>'2014'!$AM$117</f>
        <v>9600</v>
      </c>
      <c r="I12" s="76">
        <v>3</v>
      </c>
    </row>
    <row r="13" spans="2:9" ht="12.75">
      <c r="B13" t="s">
        <v>164</v>
      </c>
      <c r="F13">
        <v>18</v>
      </c>
      <c r="G13" s="4"/>
      <c r="H13" s="9">
        <f>'2014'!$AQ$117</f>
        <v>1350</v>
      </c>
      <c r="I13" s="76"/>
    </row>
    <row r="14" ht="12.75">
      <c r="I14" s="76"/>
    </row>
    <row r="15" spans="2:9" ht="12.75">
      <c r="B15" s="26" t="s">
        <v>24</v>
      </c>
      <c r="C15" s="26"/>
      <c r="D15" s="26"/>
      <c r="E15" s="26"/>
      <c r="F15" s="26"/>
      <c r="I15" s="76"/>
    </row>
    <row r="16" spans="2:11" ht="12.75">
      <c r="B16" t="s">
        <v>25</v>
      </c>
      <c r="F16">
        <v>6</v>
      </c>
      <c r="I16" s="76"/>
      <c r="J16" t="s">
        <v>20</v>
      </c>
      <c r="K16" s="7">
        <f>'2014'!$R$116</f>
        <v>27487</v>
      </c>
    </row>
    <row r="17" spans="2:11" ht="12.75">
      <c r="B17" t="s">
        <v>45</v>
      </c>
      <c r="F17">
        <v>8</v>
      </c>
      <c r="G17" s="26"/>
      <c r="I17" s="76"/>
      <c r="J17" t="s">
        <v>22</v>
      </c>
      <c r="K17" s="7">
        <f>'2014'!$V$116</f>
        <v>1188</v>
      </c>
    </row>
    <row r="18" spans="2:11" ht="12.75">
      <c r="B18" s="3" t="s">
        <v>46</v>
      </c>
      <c r="F18">
        <v>9</v>
      </c>
      <c r="G18" s="26"/>
      <c r="I18" s="76"/>
      <c r="J18" t="s">
        <v>22</v>
      </c>
      <c r="K18" s="7">
        <f>'2014'!$X$116</f>
        <v>4306.5</v>
      </c>
    </row>
    <row r="19" spans="2:11" ht="12.75">
      <c r="B19" s="3" t="s">
        <v>48</v>
      </c>
      <c r="F19">
        <v>10</v>
      </c>
      <c r="G19" s="26"/>
      <c r="I19" s="76"/>
      <c r="J19" t="s">
        <v>22</v>
      </c>
      <c r="K19" s="7">
        <f>'2014'!$Z$116</f>
        <v>0</v>
      </c>
    </row>
    <row r="20" spans="2:11" ht="12.75">
      <c r="B20" t="s">
        <v>39</v>
      </c>
      <c r="F20">
        <v>11</v>
      </c>
      <c r="G20" s="26"/>
      <c r="I20" s="76"/>
      <c r="J20" t="s">
        <v>22</v>
      </c>
      <c r="K20" s="7">
        <f>'2014'!$AB$116</f>
        <v>1050</v>
      </c>
    </row>
    <row r="21" spans="2:11" ht="12.75">
      <c r="B21" s="3" t="s">
        <v>194</v>
      </c>
      <c r="F21">
        <v>14</v>
      </c>
      <c r="G21" s="26"/>
      <c r="I21" s="76"/>
      <c r="J21" t="s">
        <v>22</v>
      </c>
      <c r="K21" s="7">
        <f>'2014'!$AH$116</f>
        <v>6813</v>
      </c>
    </row>
    <row r="22" spans="2:11" ht="12.75">
      <c r="B22" t="s">
        <v>195</v>
      </c>
      <c r="F22">
        <v>15</v>
      </c>
      <c r="G22" s="26"/>
      <c r="I22" s="76">
        <v>2</v>
      </c>
      <c r="J22" t="s">
        <v>22</v>
      </c>
      <c r="K22" s="7">
        <f>'2014'!$AJ$116</f>
        <v>58100.079999999994</v>
      </c>
    </row>
    <row r="23" spans="2:11" ht="12.75">
      <c r="B23" s="3" t="s">
        <v>7</v>
      </c>
      <c r="F23">
        <v>16</v>
      </c>
      <c r="G23" s="26"/>
      <c r="I23" s="76"/>
      <c r="K23" s="7">
        <f>'2014'!$AL$116</f>
        <v>374</v>
      </c>
    </row>
    <row r="24" spans="2:13" ht="12.75">
      <c r="B24" t="s">
        <v>164</v>
      </c>
      <c r="F24">
        <v>18</v>
      </c>
      <c r="G24" s="26"/>
      <c r="I24" s="76"/>
      <c r="J24" s="6" t="s">
        <v>22</v>
      </c>
      <c r="K24" s="27">
        <f>'2014'!$AP$116</f>
        <v>1718</v>
      </c>
      <c r="M24" s="7"/>
    </row>
    <row r="25" spans="9:11" ht="12.75">
      <c r="I25" s="76"/>
      <c r="J25" s="2" t="s">
        <v>20</v>
      </c>
      <c r="K25" s="7">
        <f>SUM(K16:K24)</f>
        <v>101036.57999999999</v>
      </c>
    </row>
    <row r="26" spans="2:11" ht="12.75">
      <c r="B26" s="8" t="s">
        <v>209</v>
      </c>
      <c r="C26" s="8"/>
      <c r="D26" s="8"/>
      <c r="E26" s="8"/>
      <c r="F26" s="8"/>
      <c r="I26" s="76"/>
      <c r="J26" s="6" t="s">
        <v>22</v>
      </c>
      <c r="K26" s="27">
        <f>H27-K25</f>
        <v>16594.45000000001</v>
      </c>
    </row>
    <row r="27" spans="2:11" ht="13.5" thickBot="1">
      <c r="B27" t="s">
        <v>26</v>
      </c>
      <c r="G27" s="28" t="s">
        <v>20</v>
      </c>
      <c r="H27" s="25">
        <f>SUM(H2:H26)</f>
        <v>117631.03</v>
      </c>
      <c r="I27" s="76"/>
      <c r="J27" s="28" t="s">
        <v>20</v>
      </c>
      <c r="K27" s="25">
        <f>SUM(K25:K26)</f>
        <v>117631.03</v>
      </c>
    </row>
    <row r="28" ht="13.5" thickTop="1"/>
    <row r="29" ht="17.25" customHeight="1">
      <c r="B29" s="26" t="s">
        <v>175</v>
      </c>
    </row>
    <row r="30" spans="2:12" ht="12.75">
      <c r="B30" s="139" t="s">
        <v>33</v>
      </c>
      <c r="C30" t="s">
        <v>20</v>
      </c>
      <c r="D30" s="7">
        <f>'2014'!$AN$4</f>
        <v>1000</v>
      </c>
      <c r="H30" s="7"/>
      <c r="L30" s="7"/>
    </row>
    <row r="31" spans="2:11" ht="12.75">
      <c r="B31" s="140" t="s">
        <v>213</v>
      </c>
      <c r="C31" t="s">
        <v>22</v>
      </c>
      <c r="D31" s="7">
        <f>'2014'!$D$4</f>
        <v>66054.12</v>
      </c>
      <c r="E31" s="7"/>
      <c r="K31" s="7"/>
    </row>
    <row r="32" spans="2:5" ht="25.5">
      <c r="B32" s="141" t="s">
        <v>197</v>
      </c>
      <c r="D32" s="9">
        <f>'2014'!$F$4</f>
        <v>9854.92</v>
      </c>
      <c r="E32" s="7"/>
    </row>
    <row r="33" spans="2:5" ht="25.5">
      <c r="B33" s="141" t="s">
        <v>198</v>
      </c>
      <c r="C33" s="4" t="s">
        <v>22</v>
      </c>
      <c r="D33" s="7">
        <f>'2014'!H4</f>
        <v>128834.07</v>
      </c>
      <c r="E33" s="7"/>
    </row>
    <row r="34" spans="2:5" ht="12.75">
      <c r="B34" s="140" t="s">
        <v>49</v>
      </c>
      <c r="C34" s="61" t="s">
        <v>22</v>
      </c>
      <c r="D34" s="27">
        <f>-'2014'!$O$4</f>
        <v>0</v>
      </c>
      <c r="E34" s="7"/>
    </row>
    <row r="35" spans="2:8" ht="12.75">
      <c r="B35" s="142" t="s">
        <v>44</v>
      </c>
      <c r="C35" s="6" t="s">
        <v>20</v>
      </c>
      <c r="D35" s="27">
        <f>SUM(D30:D34)</f>
        <v>205743.11</v>
      </c>
      <c r="E35" s="7"/>
      <c r="H35" s="7"/>
    </row>
    <row r="36" spans="1:11" ht="12.75">
      <c r="A36" s="137" t="s">
        <v>210</v>
      </c>
      <c r="B36" s="26" t="s">
        <v>178</v>
      </c>
      <c r="C36" t="s">
        <v>22</v>
      </c>
      <c r="D36" s="7">
        <f>K26</f>
        <v>16594.45000000001</v>
      </c>
      <c r="E36" s="7"/>
      <c r="H36" s="7"/>
      <c r="I36" s="4"/>
      <c r="J36" s="4"/>
      <c r="K36" s="9"/>
    </row>
    <row r="37" spans="2:11" ht="13.5" thickBot="1">
      <c r="B37" s="26" t="s">
        <v>176</v>
      </c>
      <c r="C37" s="28" t="s">
        <v>20</v>
      </c>
      <c r="D37" s="123">
        <f>SUM(D35:D36)</f>
        <v>222337.56</v>
      </c>
      <c r="E37" s="9"/>
      <c r="H37" s="7"/>
      <c r="I37" s="4"/>
      <c r="J37" s="4"/>
      <c r="K37" s="9"/>
    </row>
    <row r="38" spans="2:12" ht="13.5" thickTop="1">
      <c r="B38" s="26"/>
      <c r="C38" s="4"/>
      <c r="D38" s="9"/>
      <c r="E38" s="9"/>
      <c r="I38" s="4"/>
      <c r="J38" s="4"/>
      <c r="K38" s="9"/>
      <c r="L38" s="7"/>
    </row>
    <row r="39" spans="2:12" ht="12.75">
      <c r="B39" s="26" t="s">
        <v>199</v>
      </c>
      <c r="C39" s="4"/>
      <c r="D39" s="9"/>
      <c r="E39" s="9"/>
      <c r="I39" s="4"/>
      <c r="J39" s="4"/>
      <c r="K39" s="9"/>
      <c r="L39" s="7"/>
    </row>
    <row r="40" spans="2:5" ht="12.75">
      <c r="B40" t="s">
        <v>27</v>
      </c>
      <c r="C40" t="s">
        <v>20</v>
      </c>
      <c r="D40" s="7">
        <f>'2014'!$AO$120</f>
        <v>3480</v>
      </c>
      <c r="E40" s="7"/>
    </row>
    <row r="41" spans="2:9" ht="12.75">
      <c r="B41" t="str">
        <f>B31</f>
        <v>DnB rentespar (7058.96.70537)</v>
      </c>
      <c r="C41" t="s">
        <v>22</v>
      </c>
      <c r="D41" s="7">
        <f>'2014'!$E$120</f>
        <v>67351.9</v>
      </c>
      <c r="E41" s="7"/>
      <c r="H41" s="99">
        <f>(D41-D31)/D31</f>
        <v>0.019647222610792468</v>
      </c>
      <c r="I41" t="s">
        <v>179</v>
      </c>
    </row>
    <row r="42" spans="2:8" ht="25.5">
      <c r="B42" s="77" t="s">
        <v>197</v>
      </c>
      <c r="D42" s="9">
        <f>'2014'!$G$120</f>
        <v>0</v>
      </c>
      <c r="E42" s="7"/>
      <c r="H42" t="s">
        <v>218</v>
      </c>
    </row>
    <row r="43" spans="2:5" ht="25.5">
      <c r="B43" s="77" t="s">
        <v>198</v>
      </c>
      <c r="C43" t="s">
        <v>22</v>
      </c>
      <c r="D43" s="7">
        <f>'2014'!$I$120</f>
        <v>151505.65999999997</v>
      </c>
      <c r="E43" s="9"/>
    </row>
    <row r="44" spans="2:5" ht="12.75">
      <c r="B44" t="s">
        <v>211</v>
      </c>
      <c r="C44" t="s">
        <v>22</v>
      </c>
      <c r="D44" s="75">
        <v>0</v>
      </c>
      <c r="E44" s="9"/>
    </row>
    <row r="45" spans="1:8" ht="13.5" thickBot="1">
      <c r="A45" s="137" t="s">
        <v>210</v>
      </c>
      <c r="B45" s="26" t="s">
        <v>177</v>
      </c>
      <c r="C45" s="29" t="s">
        <v>20</v>
      </c>
      <c r="D45" s="25">
        <f>SUM(D40:D44)</f>
        <v>222337.55999999997</v>
      </c>
      <c r="E45" s="9"/>
      <c r="H45" s="7"/>
    </row>
    <row r="46" spans="2:8" ht="13.5" thickTop="1">
      <c r="B46" s="26"/>
      <c r="C46" s="2"/>
      <c r="D46" s="9"/>
      <c r="E46" s="9"/>
      <c r="H46" s="7"/>
    </row>
    <row r="47" spans="2:5" ht="12.75">
      <c r="B47" s="26" t="s">
        <v>40</v>
      </c>
      <c r="C47" s="2"/>
      <c r="D47" s="9"/>
      <c r="E47" s="9"/>
    </row>
    <row r="48" spans="2:8" ht="12.75">
      <c r="B48" t="s">
        <v>200</v>
      </c>
      <c r="C48" s="4" t="s">
        <v>20</v>
      </c>
      <c r="D48" s="9">
        <f>'2014'!I120</f>
        <v>151505.65999999997</v>
      </c>
      <c r="E48" s="9"/>
      <c r="H48" s="7"/>
    </row>
    <row r="49" spans="2:8" ht="12.75">
      <c r="B49" t="s">
        <v>201</v>
      </c>
      <c r="C49" s="61" t="s">
        <v>22</v>
      </c>
      <c r="D49" s="138">
        <f>'2014'!M120</f>
        <v>130116.61</v>
      </c>
      <c r="E49" s="9"/>
      <c r="H49" s="7"/>
    </row>
    <row r="50" spans="3:5" ht="6" customHeight="1">
      <c r="C50" s="2"/>
      <c r="D50" s="9"/>
      <c r="E50" s="9"/>
    </row>
    <row r="51" spans="2:5" ht="12.75">
      <c r="B51" s="3" t="s">
        <v>202</v>
      </c>
      <c r="C51" s="2"/>
      <c r="D51" s="9"/>
      <c r="E51" s="9"/>
    </row>
    <row r="52" spans="2:12" ht="12.75">
      <c r="B52" s="3" t="s">
        <v>203</v>
      </c>
      <c r="C52" s="2" t="s">
        <v>20</v>
      </c>
      <c r="D52" s="9">
        <f>SUM(D48:D49)</f>
        <v>281622.26999999996</v>
      </c>
      <c r="E52" s="9"/>
      <c r="L52" s="7"/>
    </row>
    <row r="53" spans="2:12" ht="12.75">
      <c r="B53" s="62" t="str">
        <f>B40</f>
        <v>Kontanter </v>
      </c>
      <c r="C53" s="2" t="s">
        <v>22</v>
      </c>
      <c r="D53" s="9">
        <f>D40</f>
        <v>3480</v>
      </c>
      <c r="E53" s="9"/>
      <c r="L53" s="7"/>
    </row>
    <row r="54" spans="2:5" ht="12.75">
      <c r="B54" s="62" t="str">
        <f>B41</f>
        <v>DnB rentespar (7058.96.70537)</v>
      </c>
      <c r="C54" s="4"/>
      <c r="D54" s="9">
        <f>D41</f>
        <v>67351.9</v>
      </c>
      <c r="E54" s="9"/>
    </row>
    <row r="55" spans="2:9" ht="12.75">
      <c r="B55" t="s">
        <v>212</v>
      </c>
      <c r="C55" s="2" t="s">
        <v>22</v>
      </c>
      <c r="D55" s="75">
        <f>-'2014'!$O$124</f>
        <v>-28504</v>
      </c>
      <c r="E55" s="9"/>
      <c r="I55">
        <v>5</v>
      </c>
    </row>
    <row r="56" spans="2:12" ht="13.5" thickBot="1">
      <c r="B56" s="63" t="s">
        <v>41</v>
      </c>
      <c r="C56" s="29" t="s">
        <v>20</v>
      </c>
      <c r="D56" s="25">
        <f>SUM(D52:D55)</f>
        <v>323950.1699999999</v>
      </c>
      <c r="E56" s="9"/>
      <c r="L56" s="7"/>
    </row>
    <row r="57" ht="13.5" thickTop="1"/>
    <row r="58" ht="12.75">
      <c r="B58" t="s">
        <v>182</v>
      </c>
    </row>
    <row r="59" spans="2:3" ht="51">
      <c r="B59" s="135" t="s">
        <v>217</v>
      </c>
      <c r="C59" s="78">
        <v>1</v>
      </c>
    </row>
    <row r="60" spans="2:3" ht="38.25">
      <c r="B60" s="77" t="s">
        <v>196</v>
      </c>
      <c r="C60" s="78">
        <v>2</v>
      </c>
    </row>
    <row r="61" spans="2:3" ht="25.5">
      <c r="B61" s="77" t="s">
        <v>219</v>
      </c>
      <c r="C61" s="78">
        <v>3</v>
      </c>
    </row>
    <row r="62" spans="2:3" ht="39" customHeight="1">
      <c r="B62" s="135" t="s">
        <v>214</v>
      </c>
      <c r="C62" s="78">
        <v>4</v>
      </c>
    </row>
    <row r="63" spans="2:3" ht="40.5" customHeight="1">
      <c r="B63" s="77" t="s">
        <v>206</v>
      </c>
      <c r="C63" s="78">
        <v>5</v>
      </c>
    </row>
    <row r="64" spans="2:7" ht="12.75">
      <c r="B64" s="77"/>
      <c r="G64" s="3"/>
    </row>
    <row r="65" spans="2:7" ht="12.75">
      <c r="B65" s="77"/>
      <c r="G65" s="3"/>
    </row>
    <row r="66" spans="2:7" ht="12.75">
      <c r="B66" s="77" t="s">
        <v>215</v>
      </c>
      <c r="G66" s="3" t="s">
        <v>28</v>
      </c>
    </row>
    <row r="67" spans="2:7" ht="12.75">
      <c r="B67" s="77" t="s">
        <v>216</v>
      </c>
      <c r="G67" s="3" t="s">
        <v>29</v>
      </c>
    </row>
    <row r="68" ht="12.75">
      <c r="G68" s="3"/>
    </row>
    <row r="69" spans="2:7" ht="12.75">
      <c r="B69" s="3" t="s">
        <v>47</v>
      </c>
      <c r="G69" s="3" t="s">
        <v>34</v>
      </c>
    </row>
    <row r="70" spans="2:7" ht="12.75">
      <c r="B70" t="s">
        <v>30</v>
      </c>
      <c r="G70" t="s">
        <v>31</v>
      </c>
    </row>
  </sheetData>
  <sheetProtection/>
  <printOptions gridLines="1"/>
  <pageMargins left="0.7480314960629921" right="0.1968503937007874" top="0.6299212598425197" bottom="0.4330708661417323" header="0.2362204724409449" footer="0.1968503937007874"/>
  <pageSetup horizontalDpi="200" verticalDpi="200" orientation="portrait" paperSize="9" r:id="rId1"/>
  <headerFooter alignWithMargins="0">
    <oddHeader>&amp;L&amp;"Arial,Halvfet"&amp;12NOF avd. Aust-Agder&amp;R&amp;"Arial,Halvfet"&amp;12Regnskap 2014</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Strømsbu videregående 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Helge</dc:creator>
  <cp:keywords/>
  <dc:description/>
  <cp:lastModifiedBy>Tore</cp:lastModifiedBy>
  <cp:lastPrinted>2015-04-06T18:04:06Z</cp:lastPrinted>
  <dcterms:created xsi:type="dcterms:W3CDTF">2007-02-12T10:42:46Z</dcterms:created>
  <dcterms:modified xsi:type="dcterms:W3CDTF">2015-04-16T08:25:57Z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y fmtid="{D5CDD505-2E9C-101B-9397-08002B2CF9AE}" pid="3" name="_AdHocReviewCycle">
    <vt:i4>1046878277</vt:i4>
  </property>
  <property fmtid="{D5CDD505-2E9C-101B-9397-08002B2CF9AE}" pid="4" name="_EmailSubje">
    <vt:lpwstr>NOF AA regnskap 2014, for web</vt:lpwstr>
  </property>
  <property fmtid="{D5CDD505-2E9C-101B-9397-08002B2CF9AE}" pid="5" name="_AuthorEma">
    <vt:lpwstr>tgand@broadpark.no</vt:lpwstr>
  </property>
  <property fmtid="{D5CDD505-2E9C-101B-9397-08002B2CF9AE}" pid="6" name="_AuthorEmailDisplayNa">
    <vt:lpwstr>Tore Gryting Andersen</vt:lpwstr>
  </property>
</Properties>
</file>